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tabRatio="877" activeTab="0"/>
  </bookViews>
  <sheets>
    <sheet name="Summary" sheetId="1" r:id="rId1"/>
    <sheet name="Freeway widen rural" sheetId="2" r:id="rId2"/>
    <sheet name="Freeway widen urban" sheetId="3" r:id="rId3"/>
    <sheet name="Freeway new rural " sheetId="4" r:id="rId4"/>
    <sheet name="HOV TOT " sheetId="5" r:id="rId5"/>
    <sheet name="C D  new urban" sheetId="6" r:id="rId6"/>
    <sheet name="Surface Street new urban" sheetId="7" r:id="rId7"/>
    <sheet name="Surface Street new rural" sheetId="8" r:id="rId8"/>
    <sheet name="Sur Str Widening urban" sheetId="9" r:id="rId9"/>
    <sheet name="Sur Str Widening rural" sheetId="10" r:id="rId10"/>
    <sheet name="Sur Str upgrade" sheetId="11" r:id="rId11"/>
    <sheet name="Interchange Diamond" sheetId="12" r:id="rId12"/>
    <sheet name="Interchange Half Diamond" sheetId="13" r:id="rId13"/>
    <sheet name="Interchange Comp Diamond" sheetId="14" r:id="rId14"/>
    <sheet name="Interchange SP Diamond" sheetId="15" r:id="rId15"/>
    <sheet name="Grade Sep 4 lanes" sheetId="16" r:id="rId16"/>
    <sheet name="Grade Sep 2 lanes" sheetId="17" r:id="rId17"/>
    <sheet name="Intersection 4X4" sheetId="18" r:id="rId18"/>
    <sheet name="Intersection 2X4" sheetId="19" r:id="rId19"/>
    <sheet name="Intersection 2X2" sheetId="20" r:id="rId20"/>
    <sheet name="Multi Use Trail" sheetId="21" r:id="rId21"/>
    <sheet name="Database" sheetId="22" r:id="rId22"/>
  </sheets>
  <definedNames>
    <definedName name="_xlnm.Print_Area" localSheetId="5">'C D  new urban'!$A$1:$I$114</definedName>
    <definedName name="_xlnm.Print_Area" localSheetId="21">'Database'!$B$1:$K$91</definedName>
    <definedName name="_xlnm.Print_Area" localSheetId="3">'Freeway new rural '!$A$1:$I$114</definedName>
    <definedName name="_xlnm.Print_Area" localSheetId="1">'Freeway widen rural'!$A$1:$I$114</definedName>
    <definedName name="_xlnm.Print_Area" localSheetId="2">'Freeway widen urban'!$A$1:$I$114</definedName>
    <definedName name="_xlnm.Print_Area" localSheetId="16">'Grade Sep 2 lanes'!$A$1:$I$114</definedName>
    <definedName name="_xlnm.Print_Area" localSheetId="15">'Grade Sep 4 lanes'!$A$1:$I$114</definedName>
    <definedName name="_xlnm.Print_Area" localSheetId="4">'HOV TOT '!$A$1:$I$114</definedName>
    <definedName name="_xlnm.Print_Area" localSheetId="13">'Interchange Comp Diamond'!$A$1:$I$114</definedName>
    <definedName name="_xlnm.Print_Area" localSheetId="11">'Interchange Diamond'!$A$1:$I$114</definedName>
    <definedName name="_xlnm.Print_Area" localSheetId="12">'Interchange Half Diamond'!$A$1:$I$114</definedName>
    <definedName name="_xlnm.Print_Area" localSheetId="14">'Interchange SP Diamond'!$A$1:$I$114</definedName>
    <definedName name="_xlnm.Print_Area" localSheetId="19">'Intersection 2X2'!$A$1:$I$114</definedName>
    <definedName name="_xlnm.Print_Area" localSheetId="18">'Intersection 2X4'!$A$1:$I$114</definedName>
    <definedName name="_xlnm.Print_Area" localSheetId="17">'Intersection 4X4'!$A$1:$I$114</definedName>
    <definedName name="_xlnm.Print_Area" localSheetId="20">'Multi Use Trail'!$A$1:$I$114</definedName>
    <definedName name="_xlnm.Print_Area" localSheetId="0">'Summary'!$B$1:$G$53</definedName>
    <definedName name="_xlnm.Print_Area" localSheetId="10">'Sur Str upgrade'!$A$1:$I$114</definedName>
    <definedName name="_xlnm.Print_Area" localSheetId="9">'Sur Str Widening rural'!$A$1:$I$114</definedName>
    <definedName name="_xlnm.Print_Area" localSheetId="8">'Sur Str Widening urban'!$A$1:$I$114</definedName>
    <definedName name="_xlnm.Print_Area" localSheetId="7">'Surface Street new rural'!$A$1:$I$114</definedName>
    <definedName name="_xlnm.Print_Area" localSheetId="6">'Surface Street new urban'!$A$1:$I$114</definedName>
  </definedNames>
  <calcPr fullCalcOnLoad="1"/>
</workbook>
</file>

<file path=xl/sharedStrings.xml><?xml version="1.0" encoding="utf-8"?>
<sst xmlns="http://schemas.openxmlformats.org/spreadsheetml/2006/main" count="2698" uniqueCount="238">
  <si>
    <t>Project Cost Estimation Spreadsheet</t>
  </si>
  <si>
    <t>Project Identification</t>
  </si>
  <si>
    <t>Description</t>
  </si>
  <si>
    <t>From Limit</t>
  </si>
  <si>
    <t>To Limit</t>
  </si>
  <si>
    <t>Project Length</t>
  </si>
  <si>
    <t>PE %</t>
  </si>
  <si>
    <t>Unit Cost</t>
  </si>
  <si>
    <t>miles</t>
  </si>
  <si>
    <t>Lane-Miles</t>
  </si>
  <si>
    <t>Add Lanes</t>
  </si>
  <si>
    <t>Miles</t>
  </si>
  <si>
    <t>Cost</t>
  </si>
  <si>
    <t>Additional Per Mile Components</t>
  </si>
  <si>
    <t>Individual Components</t>
  </si>
  <si>
    <t>Subtotal</t>
  </si>
  <si>
    <t>Notes</t>
  </si>
  <si>
    <t>Total Construction Cost</t>
  </si>
  <si>
    <t>Construction Costs</t>
  </si>
  <si>
    <t>Right-of-Way Costs</t>
  </si>
  <si>
    <t>Area Type</t>
  </si>
  <si>
    <t>Urban Residential</t>
  </si>
  <si>
    <t>Urban Commercial</t>
  </si>
  <si>
    <t>Suburban/Rural Residential</t>
  </si>
  <si>
    <t>Suburban/Rural Commercial</t>
  </si>
  <si>
    <t>Total Right-of-Way Cost</t>
  </si>
  <si>
    <t>Preliminary Engineering</t>
  </si>
  <si>
    <t>Preliminary Engineering Costs</t>
  </si>
  <si>
    <t>Total Preliminary Engineering Cost</t>
  </si>
  <si>
    <t>Contingency Costs</t>
  </si>
  <si>
    <t>Contingency %</t>
  </si>
  <si>
    <t>Total Contingency Cost</t>
  </si>
  <si>
    <t>Cost Summary</t>
  </si>
  <si>
    <t>Right-of-Way</t>
  </si>
  <si>
    <t>Construction</t>
  </si>
  <si>
    <t>Total</t>
  </si>
  <si>
    <t xml:space="preserve"> </t>
  </si>
  <si>
    <t>Width (ft)</t>
  </si>
  <si>
    <t>Acres</t>
  </si>
  <si>
    <t>Unit Cost (acre)</t>
  </si>
  <si>
    <t>Displacements</t>
  </si>
  <si>
    <t>Residential</t>
  </si>
  <si>
    <t>Business</t>
  </si>
  <si>
    <t>Number</t>
  </si>
  <si>
    <t>factor</t>
  </si>
  <si>
    <t>ROW multiplier</t>
  </si>
  <si>
    <t>Surface Street Overlay</t>
  </si>
  <si>
    <t>Length</t>
  </si>
  <si>
    <t>Special E&amp;S control</t>
  </si>
  <si>
    <t>grade change reqd?</t>
  </si>
  <si>
    <t>MSE, CIP or Tie Bk</t>
  </si>
  <si>
    <t>Fed. or local funding? Staging?</t>
  </si>
  <si>
    <t>balance,waste or borrow?</t>
  </si>
  <si>
    <t>MOT?, tie ins?</t>
  </si>
  <si>
    <t>tie ins? ADA? MOT?</t>
  </si>
  <si>
    <t>T&amp;E species?</t>
  </si>
  <si>
    <t xml:space="preserve">close road? </t>
  </si>
  <si>
    <t>hydraulics?</t>
  </si>
  <si>
    <t>in road or side trail?</t>
  </si>
  <si>
    <t>parallel stream?</t>
  </si>
  <si>
    <t>Average Per Lane-Mile Components</t>
  </si>
  <si>
    <t>Traffic Control</t>
  </si>
  <si>
    <t>Typical Driveways</t>
  </si>
  <si>
    <t>Typical Earthwork</t>
  </si>
  <si>
    <t>Typical Drainage - Urban Section</t>
  </si>
  <si>
    <t>Typical Drainage - Rural Section</t>
  </si>
  <si>
    <t>Precast barrier Method 3  (ft)</t>
  </si>
  <si>
    <t>Maint of Traffic difficulty (mile)</t>
  </si>
  <si>
    <t>Add'l guardrail (mile)</t>
  </si>
  <si>
    <t>Paved Shoulders, 4 ft, 2 sides(mile)</t>
  </si>
  <si>
    <t>Curb &amp; Gutter both sides (mile)</t>
  </si>
  <si>
    <t>Bikeway, 4 feet, both side (mile)</t>
  </si>
  <si>
    <t>Add'l driveways (mile)</t>
  </si>
  <si>
    <t>Add'l Major Earthwork (mile)</t>
  </si>
  <si>
    <t>Add'l Major Drainage (mile)</t>
  </si>
  <si>
    <t>Add'l Major Grade changes (mile)</t>
  </si>
  <si>
    <t>Major alignment corrections (mile)</t>
  </si>
  <si>
    <t>Length (ft)</t>
  </si>
  <si>
    <t>Ht (ft)</t>
  </si>
  <si>
    <t>Reimbursable Utility Costs</t>
  </si>
  <si>
    <t>Total Reimbursable Utility Cost</t>
  </si>
  <si>
    <t>Total (PE+Util.+ROW+CST)</t>
  </si>
  <si>
    <t>Reimbursable Utility</t>
  </si>
  <si>
    <t>Grand Total</t>
  </si>
  <si>
    <t>Yr. of Exp.</t>
  </si>
  <si>
    <t>Inflated Cost</t>
  </si>
  <si>
    <t>Damages</t>
  </si>
  <si>
    <t>$/ft</t>
  </si>
  <si>
    <t>441-6222</t>
  </si>
  <si>
    <t>$/SY</t>
  </si>
  <si>
    <t>plus C&amp;G both sides</t>
  </si>
  <si>
    <t>20ft. Raised median +C&amp;G (mile)</t>
  </si>
  <si>
    <t>441-0104</t>
  </si>
  <si>
    <t>441-0748</t>
  </si>
  <si>
    <t>Sidewalks 5 ft. ea.side (mile)</t>
  </si>
  <si>
    <t>lump</t>
  </si>
  <si>
    <t>161-1000</t>
  </si>
  <si>
    <t>silt gates - 100 @ $450</t>
  </si>
  <si>
    <t>silt fence typ.A@$2.75+typ.B@$4</t>
  </si>
  <si>
    <t>622-1033</t>
  </si>
  <si>
    <t>Signing &amp; Marking</t>
  </si>
  <si>
    <t>Cl. B Conc. Base or pvmt widening</t>
  </si>
  <si>
    <t>500-9999</t>
  </si>
  <si>
    <t>150-1000</t>
  </si>
  <si>
    <t>210-0100</t>
  </si>
  <si>
    <t>grading complete</t>
  </si>
  <si>
    <t>acre</t>
  </si>
  <si>
    <t>per mile</t>
  </si>
  <si>
    <t>storm drain pipe 18 - 36in</t>
  </si>
  <si>
    <t xml:space="preserve">per mile </t>
  </si>
  <si>
    <t>reconst. Manholes &amp; drop inlets</t>
  </si>
  <si>
    <t>catch basins, drop inlets &amp; manholes</t>
  </si>
  <si>
    <t>Surface Str. Widening base &amp; pave</t>
  </si>
  <si>
    <t>Perm. E.C.</t>
  </si>
  <si>
    <t>Project Cost Estimation Spreadsheet Database</t>
  </si>
  <si>
    <t>Inflation rate</t>
  </si>
  <si>
    <t>Typical Guardrail</t>
  </si>
  <si>
    <t>Typical E &amp; S Control Temp&amp;Perm</t>
  </si>
  <si>
    <t>blank</t>
  </si>
  <si>
    <t>Project Name</t>
  </si>
  <si>
    <t>District</t>
  </si>
  <si>
    <t>Proj. Type</t>
  </si>
  <si>
    <t>s.y.</t>
  </si>
  <si>
    <t xml:space="preserve">12.5mm </t>
  </si>
  <si>
    <t>19mm</t>
  </si>
  <si>
    <t>25mm</t>
  </si>
  <si>
    <t>Bitum tack</t>
  </si>
  <si>
    <t>Cost / ton</t>
  </si>
  <si>
    <t>Factor</t>
  </si>
  <si>
    <t>Median landscaping</t>
  </si>
  <si>
    <t>Cross Streets widening</t>
  </si>
  <si>
    <t>Cross Street Overlay</t>
  </si>
  <si>
    <t>Surface Street Structural Overlay</t>
  </si>
  <si>
    <t>per lane mile</t>
  </si>
  <si>
    <t>per mile based on 7 cross streets per mile at 366 SY overlay each</t>
  </si>
  <si>
    <t>Pavement patching (Sq yd)</t>
  </si>
  <si>
    <t>Retaining Walls - Gravity 0 - 5' (LF)</t>
  </si>
  <si>
    <t>Retaining Walls-Gravity 5'-max (LF)</t>
  </si>
  <si>
    <t>Retaining Walls-Special Design(SF)</t>
  </si>
  <si>
    <t>Bridges - widen (SF)</t>
  </si>
  <si>
    <t>Bridges - replace (SF)</t>
  </si>
  <si>
    <t>Bridges - detour (SF)</t>
  </si>
  <si>
    <t>Box Culverts (SF)</t>
  </si>
  <si>
    <t>Large cross drains (LF)</t>
  </si>
  <si>
    <t>Replace cross drains (LF)</t>
  </si>
  <si>
    <t>Sediment/ detention ponds (ea)</t>
  </si>
  <si>
    <t>Traffic Signalization / Upgrade (ea)</t>
  </si>
  <si>
    <t>Surface Str. New Cst. base &amp; pave</t>
  </si>
  <si>
    <t>ROW Multiplier</t>
  </si>
  <si>
    <t>1500 ft + 10 typ 1 &amp; 10 typ. 9  per mile</t>
  </si>
  <si>
    <t>Const. Mgt</t>
  </si>
  <si>
    <t>Finance</t>
  </si>
  <si>
    <t>Program Cost =</t>
  </si>
  <si>
    <t>Total Program Cost</t>
  </si>
  <si>
    <t>Bridge Removal (SF)</t>
  </si>
  <si>
    <t>use 2% const. minimum</t>
  </si>
  <si>
    <t>Typical Clear &amp; Grub-120 ft wide</t>
  </si>
  <si>
    <t>check ratio - (traffic cont+e&amp;s+earthwork) / const</t>
  </si>
  <si>
    <t>Cofferdams (ea)</t>
  </si>
  <si>
    <t>sidewalk</t>
  </si>
  <si>
    <t>trail side</t>
  </si>
  <si>
    <t>CIP</t>
  </si>
  <si>
    <t>cuts</t>
  </si>
  <si>
    <t>Stilesboro included in other project</t>
  </si>
  <si>
    <t>sidewalk side</t>
  </si>
  <si>
    <t>Old 41</t>
  </si>
  <si>
    <t>Freeway</t>
  </si>
  <si>
    <t>Surface Street</t>
  </si>
  <si>
    <t>Costing Tool Spreadsheet</t>
  </si>
  <si>
    <t>Atlanta Regional Commission</t>
  </si>
  <si>
    <t>cost/sy</t>
  </si>
  <si>
    <t>Per lane mile cost</t>
  </si>
  <si>
    <t>Const. Cost per lane mile</t>
  </si>
  <si>
    <t>12 in GAB</t>
  </si>
  <si>
    <t>Widen existing surface street urban w/ median</t>
  </si>
  <si>
    <t>move existing lanes</t>
  </si>
  <si>
    <t>median barriers</t>
  </si>
  <si>
    <t xml:space="preserve">Collector Distributor </t>
  </si>
  <si>
    <t>Urban</t>
  </si>
  <si>
    <t>Rural</t>
  </si>
  <si>
    <t>with Median</t>
  </si>
  <si>
    <t>without Median</t>
  </si>
  <si>
    <t>Surface Street Widening</t>
  </si>
  <si>
    <t>Surface Street Upgrade</t>
  </si>
  <si>
    <t>Surface Street New</t>
  </si>
  <si>
    <t>Freeway New</t>
  </si>
  <si>
    <t>Freeway widening</t>
  </si>
  <si>
    <t>Collector Distributor</t>
  </si>
  <si>
    <t>Freeway widen rural</t>
  </si>
  <si>
    <t>Freeway new rural</t>
  </si>
  <si>
    <t>Roadway Construction Cost per Lane Mile</t>
  </si>
  <si>
    <t>Surface Street new urban</t>
  </si>
  <si>
    <t>w/o median</t>
  </si>
  <si>
    <t>Intersetion 4X4</t>
  </si>
  <si>
    <t>Intersections</t>
  </si>
  <si>
    <t>Arterial to Arterial</t>
  </si>
  <si>
    <t>Arterial to Collector</t>
  </si>
  <si>
    <t>Const Cost per Each</t>
  </si>
  <si>
    <t>Intersetion 2X4</t>
  </si>
  <si>
    <t>Collector to Local</t>
  </si>
  <si>
    <t>Traffic Signal Upgrade</t>
  </si>
  <si>
    <t>Bridges</t>
  </si>
  <si>
    <t>Roadway (450 ft long)</t>
  </si>
  <si>
    <t>Const. Cost per Lane</t>
  </si>
  <si>
    <t>Bridge RR</t>
  </si>
  <si>
    <t>per ft per track</t>
  </si>
  <si>
    <t>Railroad (250 ft long)</t>
  </si>
  <si>
    <t>Const Cost =</t>
  </si>
  <si>
    <t>multi use trail</t>
  </si>
  <si>
    <t>Multi Use Trail</t>
  </si>
  <si>
    <t>Const. Cost per Mile</t>
  </si>
  <si>
    <t>Park Ride Lot</t>
  </si>
  <si>
    <t xml:space="preserve">per mile   </t>
  </si>
  <si>
    <t>per space</t>
  </si>
  <si>
    <t>Multi-Use Trail (10 ft)</t>
  </si>
  <si>
    <t>Sidewalk (2 @ 5 ft)</t>
  </si>
  <si>
    <t>Non-Vehicular Elements</t>
  </si>
  <si>
    <t>Sound Barrier Walls</t>
  </si>
  <si>
    <t>15 ft high X 1 mile long X $/SF</t>
  </si>
  <si>
    <t>Sound Barrier Wall (SF)</t>
  </si>
  <si>
    <t>Retaining Walls</t>
  </si>
  <si>
    <t>12 ft high X 1 mile long X $/SF</t>
  </si>
  <si>
    <t>Interchanges &amp; Grade Separations</t>
  </si>
  <si>
    <t>Compressed Diamond</t>
  </si>
  <si>
    <t>Single Point Urban</t>
  </si>
  <si>
    <t>Diamond</t>
  </si>
  <si>
    <t>Half Diamond</t>
  </si>
  <si>
    <t>Grade Sep - 4 lanes</t>
  </si>
  <si>
    <t>Grade Sep - 2 lanes</t>
  </si>
  <si>
    <t>Interchange Diamond</t>
  </si>
  <si>
    <t>Ramps</t>
  </si>
  <si>
    <t>Grade Sep 4 lanes</t>
  </si>
  <si>
    <t>Interchange SP Diamond</t>
  </si>
  <si>
    <t>Interchange Comp  Diamond</t>
  </si>
  <si>
    <t>Grade Sep 2 lanes</t>
  </si>
  <si>
    <t>Surface Str upgrade to urban</t>
  </si>
  <si>
    <t>HOV or TOL (in middle w/ barrier)</t>
  </si>
  <si>
    <t>N/A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</si>
</sst>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00000"/>
    <numFmt numFmtId="167" formatCode="0.00000"/>
    <numFmt numFmtId="168" formatCode="0.0000"/>
    <numFmt numFmtId="169" formatCode="0.000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  <numFmt numFmtId="173" formatCode="&quot;$&quot;#,##0.00"/>
    <numFmt numFmtId="174" formatCode="&quot;$&quot;#,##0.0"/>
    <numFmt numFmtId="175" formatCode="_(* #,##0.0_);_(* \(#,##0.0\);_(* &quot;-&quot;?_);_(@_)"/>
    <numFmt numFmtId="176" formatCode="&quot;$&quot;#,##0;[Red]&quot;$&quot;#,##0"/>
    <numFmt numFmtId="177" formatCode="&quot;$&quot;#,##0.00;[Red]&quot;$&quot;#,##0.00"/>
    <numFmt numFmtId="178" formatCode="_(* #,##0.0_);_(* \(#,##0.0\);_(* &quot;-&quot;??_);_(@_)"/>
    <numFmt numFmtId="179" formatCode="_(* #,##0_);_(* \(#,##0\);_(* &quot;-&quot;??_);_(@_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1"/>
      <color indexed="62"/>
      <name val="Arial"/>
      <family val="2"/>
    </font>
    <font>
      <b/>
      <i/>
      <u val="single"/>
      <sz val="10"/>
      <color indexed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3" borderId="1" xfId="0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2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2" fillId="0" borderId="7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165" fontId="1" fillId="0" borderId="11" xfId="0" applyNumberFormat="1" applyFont="1" applyBorder="1" applyAlignment="1">
      <alignment/>
    </xf>
    <xf numFmtId="0" fontId="0" fillId="0" borderId="4" xfId="0" applyBorder="1" applyAlignment="1">
      <alignment/>
    </xf>
    <xf numFmtId="165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9" fontId="0" fillId="2" borderId="13" xfId="0" applyNumberFormat="1" applyFill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right"/>
    </xf>
    <xf numFmtId="165" fontId="1" fillId="0" borderId="14" xfId="0" applyNumberFormat="1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right"/>
    </xf>
    <xf numFmtId="0" fontId="0" fillId="0" borderId="8" xfId="0" applyNumberFormat="1" applyBorder="1" applyAlignment="1">
      <alignment/>
    </xf>
    <xf numFmtId="2" fontId="0" fillId="2" borderId="0" xfId="0" applyNumberFormat="1" applyFill="1" applyBorder="1" applyAlignment="1">
      <alignment/>
    </xf>
    <xf numFmtId="0" fontId="1" fillId="0" borderId="0" xfId="0" applyFont="1" applyBorder="1" applyAlignment="1">
      <alignment/>
    </xf>
    <xf numFmtId="165" fontId="1" fillId="0" borderId="8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2" fontId="0" fillId="0" borderId="0" xfId="0" applyNumberFormat="1" applyBorder="1" applyAlignment="1">
      <alignment/>
    </xf>
    <xf numFmtId="10" fontId="0" fillId="0" borderId="15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3" fillId="0" borderId="7" xfId="0" applyFont="1" applyBorder="1" applyAlignment="1">
      <alignment/>
    </xf>
    <xf numFmtId="9" fontId="0" fillId="0" borderId="10" xfId="0" applyNumberFormat="1" applyFill="1" applyBorder="1" applyAlignment="1">
      <alignment/>
    </xf>
    <xf numFmtId="10" fontId="0" fillId="0" borderId="0" xfId="0" applyNumberFormat="1" applyAlignment="1">
      <alignment/>
    </xf>
    <xf numFmtId="44" fontId="0" fillId="0" borderId="0" xfId="17" applyAlignment="1">
      <alignment/>
    </xf>
    <xf numFmtId="3" fontId="0" fillId="2" borderId="6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7" fillId="0" borderId="4" xfId="0" applyFont="1" applyBorder="1" applyAlignment="1">
      <alignment/>
    </xf>
    <xf numFmtId="9" fontId="0" fillId="0" borderId="0" xfId="21" applyAlignment="1">
      <alignment wrapText="1"/>
    </xf>
    <xf numFmtId="10" fontId="0" fillId="0" borderId="0" xfId="21" applyNumberFormat="1" applyAlignment="1">
      <alignment wrapText="1"/>
    </xf>
    <xf numFmtId="3" fontId="0" fillId="0" borderId="0" xfId="0" applyNumberFormat="1" applyAlignment="1">
      <alignment/>
    </xf>
    <xf numFmtId="0" fontId="0" fillId="0" borderId="7" xfId="0" applyFill="1" applyBorder="1" applyAlignment="1">
      <alignment/>
    </xf>
    <xf numFmtId="6" fontId="0" fillId="0" borderId="0" xfId="0" applyNumberFormat="1" applyAlignment="1">
      <alignment/>
    </xf>
    <xf numFmtId="171" fontId="0" fillId="0" borderId="0" xfId="17" applyNumberFormat="1" applyAlignment="1">
      <alignment/>
    </xf>
    <xf numFmtId="165" fontId="0" fillId="0" borderId="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5" xfId="0" applyNumberFormat="1" applyBorder="1" applyAlignment="1">
      <alignment/>
    </xf>
    <xf numFmtId="171" fontId="0" fillId="0" borderId="5" xfId="17" applyNumberFormat="1" applyBorder="1" applyAlignment="1">
      <alignment/>
    </xf>
    <xf numFmtId="171" fontId="0" fillId="0" borderId="0" xfId="17" applyNumberFormat="1" applyBorder="1" applyAlignment="1">
      <alignment/>
    </xf>
    <xf numFmtId="0" fontId="0" fillId="2" borderId="10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9" xfId="0" applyNumberFormat="1" applyBorder="1" applyAlignment="1">
      <alignment/>
    </xf>
    <xf numFmtId="165" fontId="0" fillId="0" borderId="0" xfId="0" applyNumberFormat="1" applyAlignment="1">
      <alignment wrapText="1"/>
    </xf>
    <xf numFmtId="0" fontId="0" fillId="2" borderId="0" xfId="0" applyFill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 wrapText="1"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Fill="1" applyBorder="1" applyAlignment="1">
      <alignment/>
    </xf>
    <xf numFmtId="9" fontId="0" fillId="0" borderId="9" xfId="0" applyNumberFormat="1" applyBorder="1" applyAlignment="1">
      <alignment/>
    </xf>
    <xf numFmtId="9" fontId="0" fillId="0" borderId="10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3" borderId="16" xfId="0" applyFill="1" applyBorder="1" applyAlignment="1">
      <alignment/>
    </xf>
    <xf numFmtId="165" fontId="4" fillId="3" borderId="16" xfId="0" applyNumberFormat="1" applyFont="1" applyFill="1" applyBorder="1" applyAlignment="1">
      <alignment/>
    </xf>
    <xf numFmtId="171" fontId="9" fillId="3" borderId="16" xfId="17" applyNumberFormat="1" applyFont="1" applyFill="1" applyBorder="1" applyAlignment="1">
      <alignment/>
    </xf>
    <xf numFmtId="171" fontId="4" fillId="3" borderId="16" xfId="17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0" fillId="3" borderId="20" xfId="0" applyFill="1" applyBorder="1" applyAlignment="1">
      <alignment/>
    </xf>
    <xf numFmtId="165" fontId="4" fillId="3" borderId="17" xfId="0" applyNumberFormat="1" applyFont="1" applyFill="1" applyBorder="1" applyAlignment="1">
      <alignment/>
    </xf>
    <xf numFmtId="171" fontId="9" fillId="3" borderId="17" xfId="17" applyNumberFormat="1" applyFont="1" applyFill="1" applyBorder="1" applyAlignment="1">
      <alignment/>
    </xf>
    <xf numFmtId="0" fontId="1" fillId="3" borderId="17" xfId="0" applyFont="1" applyFill="1" applyBorder="1" applyAlignment="1">
      <alignment horizontal="right"/>
    </xf>
    <xf numFmtId="0" fontId="0" fillId="0" borderId="21" xfId="0" applyBorder="1" applyAlignment="1">
      <alignment wrapText="1"/>
    </xf>
    <xf numFmtId="2" fontId="0" fillId="0" borderId="18" xfId="0" applyNumberFormat="1" applyBorder="1" applyAlignment="1">
      <alignment/>
    </xf>
    <xf numFmtId="171" fontId="0" fillId="2" borderId="8" xfId="17" applyNumberFormat="1" applyFill="1" applyBorder="1" applyAlignment="1">
      <alignment/>
    </xf>
    <xf numFmtId="9" fontId="0" fillId="0" borderId="0" xfId="21" applyAlignment="1">
      <alignment horizontal="center" wrapText="1"/>
    </xf>
    <xf numFmtId="44" fontId="0" fillId="0" borderId="0" xfId="0" applyNumberFormat="1" applyAlignment="1">
      <alignment/>
    </xf>
    <xf numFmtId="0" fontId="0" fillId="3" borderId="0" xfId="0" applyFill="1" applyBorder="1" applyAlignment="1">
      <alignment/>
    </xf>
    <xf numFmtId="171" fontId="0" fillId="3" borderId="0" xfId="17" applyNumberFormat="1" applyFill="1" applyAlignment="1">
      <alignment/>
    </xf>
    <xf numFmtId="0" fontId="0" fillId="4" borderId="0" xfId="0" applyFill="1" applyAlignment="1">
      <alignment/>
    </xf>
    <xf numFmtId="171" fontId="0" fillId="3" borderId="0" xfId="17" applyNumberFormat="1" applyFill="1" applyAlignment="1">
      <alignment/>
    </xf>
    <xf numFmtId="9" fontId="0" fillId="0" borderId="0" xfId="21" applyAlignment="1">
      <alignment horizontal="center" wrapText="1"/>
    </xf>
    <xf numFmtId="171" fontId="0" fillId="2" borderId="8" xfId="17" applyNumberFormat="1" applyFill="1" applyBorder="1" applyAlignment="1">
      <alignment/>
    </xf>
    <xf numFmtId="0" fontId="0" fillId="0" borderId="22" xfId="0" applyBorder="1" applyAlignment="1">
      <alignment vertical="top"/>
    </xf>
    <xf numFmtId="0" fontId="0" fillId="0" borderId="15" xfId="0" applyBorder="1" applyAlignment="1">
      <alignment vertical="top" wrapText="1"/>
    </xf>
    <xf numFmtId="0" fontId="1" fillId="2" borderId="16" xfId="0" applyFont="1" applyFill="1" applyBorder="1" applyAlignment="1">
      <alignment horizontal="center" wrapText="1"/>
    </xf>
    <xf numFmtId="171" fontId="0" fillId="0" borderId="16" xfId="17" applyNumberFormat="1" applyBorder="1" applyAlignment="1">
      <alignment/>
    </xf>
    <xf numFmtId="171" fontId="0" fillId="0" borderId="16" xfId="17" applyNumberFormat="1" applyFont="1" applyBorder="1" applyAlignment="1">
      <alignment/>
    </xf>
    <xf numFmtId="171" fontId="10" fillId="4" borderId="0" xfId="20" applyNumberFormat="1" applyFont="1" applyFill="1" applyAlignment="1">
      <alignment/>
    </xf>
    <xf numFmtId="179" fontId="0" fillId="4" borderId="0" xfId="0" applyNumberFormat="1" applyFill="1" applyAlignment="1">
      <alignment/>
    </xf>
    <xf numFmtId="171" fontId="0" fillId="3" borderId="0" xfId="17" applyNumberFormat="1" applyFont="1" applyFill="1" applyAlignment="1">
      <alignment/>
    </xf>
    <xf numFmtId="0" fontId="1" fillId="2" borderId="23" xfId="0" applyFont="1" applyFill="1" applyBorder="1" applyAlignment="1">
      <alignment horizontal="center" wrapText="1"/>
    </xf>
    <xf numFmtId="171" fontId="0" fillId="0" borderId="23" xfId="17" applyNumberFormat="1" applyBorder="1" applyAlignment="1">
      <alignment/>
    </xf>
    <xf numFmtId="0" fontId="0" fillId="0" borderId="24" xfId="0" applyBorder="1" applyAlignment="1">
      <alignment wrapText="1"/>
    </xf>
    <xf numFmtId="171" fontId="0" fillId="0" borderId="17" xfId="17" applyNumberFormat="1" applyBorder="1" applyAlignment="1">
      <alignment/>
    </xf>
    <xf numFmtId="171" fontId="0" fillId="0" borderId="25" xfId="17" applyNumberFormat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26" xfId="0" applyFill="1" applyBorder="1" applyAlignment="1">
      <alignment/>
    </xf>
    <xf numFmtId="0" fontId="0" fillId="0" borderId="2" xfId="0" applyBorder="1" applyAlignment="1">
      <alignment/>
    </xf>
    <xf numFmtId="0" fontId="0" fillId="2" borderId="16" xfId="0" applyFill="1" applyBorder="1" applyAlignment="1">
      <alignment/>
    </xf>
    <xf numFmtId="0" fontId="0" fillId="0" borderId="27" xfId="0" applyBorder="1" applyAlignment="1">
      <alignment horizontal="right"/>
    </xf>
    <xf numFmtId="0" fontId="2" fillId="2" borderId="27" xfId="0" applyFont="1" applyFill="1" applyBorder="1" applyAlignment="1">
      <alignment horizontal="left"/>
    </xf>
    <xf numFmtId="0" fontId="2" fillId="2" borderId="27" xfId="0" applyFont="1" applyFill="1" applyBorder="1" applyAlignment="1">
      <alignment/>
    </xf>
    <xf numFmtId="0" fontId="0" fillId="0" borderId="27" xfId="0" applyBorder="1" applyAlignment="1">
      <alignment/>
    </xf>
    <xf numFmtId="0" fontId="0" fillId="2" borderId="28" xfId="0" applyFill="1" applyBorder="1" applyAlignment="1">
      <alignment/>
    </xf>
    <xf numFmtId="171" fontId="0" fillId="0" borderId="12" xfId="17" applyNumberFormat="1" applyBorder="1" applyAlignment="1">
      <alignment/>
    </xf>
    <xf numFmtId="171" fontId="0" fillId="2" borderId="12" xfId="17" applyNumberFormat="1" applyFont="1" applyFill="1" applyBorder="1" applyAlignment="1">
      <alignment/>
    </xf>
    <xf numFmtId="0" fontId="0" fillId="0" borderId="23" xfId="0" applyBorder="1" applyAlignment="1">
      <alignment/>
    </xf>
    <xf numFmtId="0" fontId="0" fillId="2" borderId="23" xfId="0" applyFill="1" applyBorder="1" applyAlignment="1">
      <alignment/>
    </xf>
    <xf numFmtId="171" fontId="0" fillId="2" borderId="16" xfId="17" applyNumberFormat="1" applyFill="1" applyBorder="1" applyAlignment="1">
      <alignment/>
    </xf>
    <xf numFmtId="0" fontId="0" fillId="2" borderId="27" xfId="0" applyFill="1" applyBorder="1" applyAlignment="1">
      <alignment horizontal="left"/>
    </xf>
    <xf numFmtId="0" fontId="0" fillId="0" borderId="29" xfId="0" applyBorder="1" applyAlignment="1">
      <alignment/>
    </xf>
    <xf numFmtId="0" fontId="0" fillId="0" borderId="25" xfId="0" applyBorder="1" applyAlignment="1">
      <alignment/>
    </xf>
    <xf numFmtId="171" fontId="0" fillId="0" borderId="23" xfId="17" applyNumberFormat="1" applyFont="1" applyBorder="1" applyAlignment="1">
      <alignment/>
    </xf>
    <xf numFmtId="171" fontId="0" fillId="0" borderId="16" xfId="17" applyNumberFormat="1" applyFont="1" applyBorder="1" applyAlignment="1">
      <alignment horizontal="center"/>
    </xf>
    <xf numFmtId="171" fontId="0" fillId="0" borderId="23" xfId="17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30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1" fillId="2" borderId="32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" fillId="2" borderId="20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1" fillId="2" borderId="16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Alignment="1">
      <alignment/>
    </xf>
    <xf numFmtId="176" fontId="4" fillId="3" borderId="16" xfId="17" applyNumberFormat="1" applyFont="1" applyFill="1" applyBorder="1" applyAlignment="1">
      <alignment/>
    </xf>
    <xf numFmtId="176" fontId="4" fillId="3" borderId="23" xfId="0" applyNumberFormat="1" applyFont="1" applyFill="1" applyBorder="1" applyAlignment="1">
      <alignment/>
    </xf>
    <xf numFmtId="176" fontId="4" fillId="3" borderId="17" xfId="17" applyNumberFormat="1" applyFont="1" applyFill="1" applyBorder="1" applyAlignment="1">
      <alignment/>
    </xf>
    <xf numFmtId="176" fontId="4" fillId="3" borderId="25" xfId="0" applyNumberFormat="1" applyFont="1" applyFill="1" applyBorder="1" applyAlignment="1">
      <alignment/>
    </xf>
    <xf numFmtId="0" fontId="0" fillId="3" borderId="20" xfId="0" applyFill="1" applyBorder="1" applyAlignment="1">
      <alignment horizontal="center"/>
    </xf>
    <xf numFmtId="0" fontId="0" fillId="0" borderId="33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3"/>
  <sheetViews>
    <sheetView tabSelected="1" workbookViewId="0" topLeftCell="A28">
      <selection activeCell="I5" sqref="I5"/>
    </sheetView>
  </sheetViews>
  <sheetFormatPr defaultColWidth="9.140625" defaultRowHeight="12.75"/>
  <cols>
    <col min="1" max="1" width="1.1484375" style="0" customWidth="1"/>
    <col min="2" max="2" width="29.00390625" style="0" customWidth="1"/>
    <col min="3" max="3" width="7.00390625" style="0" customWidth="1"/>
    <col min="4" max="5" width="18.421875" style="0" customWidth="1"/>
    <col min="6" max="6" width="19.00390625" style="0" customWidth="1"/>
    <col min="7" max="7" width="18.421875" style="0" customWidth="1"/>
  </cols>
  <sheetData>
    <row r="1" spans="2:4" ht="15.75">
      <c r="B1" s="136" t="s">
        <v>168</v>
      </c>
      <c r="C1" s="136"/>
      <c r="D1" s="136"/>
    </row>
    <row r="2" spans="2:4" ht="13.5" thickBot="1">
      <c r="B2" s="137" t="s">
        <v>169</v>
      </c>
      <c r="C2" s="137"/>
      <c r="D2" s="137"/>
    </row>
    <row r="3" spans="2:7" ht="12.75" customHeight="1">
      <c r="B3" s="138" t="s">
        <v>119</v>
      </c>
      <c r="C3" s="140" t="s">
        <v>36</v>
      </c>
      <c r="D3" s="142" t="s">
        <v>190</v>
      </c>
      <c r="E3" s="143"/>
      <c r="F3" s="143"/>
      <c r="G3" s="144"/>
    </row>
    <row r="4" spans="2:7" ht="28.5" customHeight="1">
      <c r="B4" s="139"/>
      <c r="C4" s="141"/>
      <c r="D4" s="145" t="s">
        <v>178</v>
      </c>
      <c r="E4" s="146"/>
      <c r="F4" s="145" t="s">
        <v>179</v>
      </c>
      <c r="G4" s="147"/>
    </row>
    <row r="5" spans="2:7" ht="28.5" customHeight="1">
      <c r="B5" s="103"/>
      <c r="C5" s="104"/>
      <c r="D5" s="105" t="s">
        <v>180</v>
      </c>
      <c r="E5" s="105" t="s">
        <v>181</v>
      </c>
      <c r="F5" s="105" t="s">
        <v>180</v>
      </c>
      <c r="G5" s="111" t="s">
        <v>181</v>
      </c>
    </row>
    <row r="6" spans="2:7" ht="12.75">
      <c r="B6" s="74" t="s">
        <v>182</v>
      </c>
      <c r="C6" s="75" t="s">
        <v>36</v>
      </c>
      <c r="D6" s="106">
        <f>'Sur Str Widening urban'!H7</f>
        <v>2640000</v>
      </c>
      <c r="E6" s="106">
        <f>D6</f>
        <v>2640000</v>
      </c>
      <c r="F6" s="106">
        <f>'Sur Str Widening rural'!H7</f>
        <v>2000000</v>
      </c>
      <c r="G6" s="112">
        <f>F6</f>
        <v>2000000</v>
      </c>
    </row>
    <row r="7" spans="2:7" ht="12.75">
      <c r="B7" s="74"/>
      <c r="C7" s="75"/>
      <c r="D7" s="106"/>
      <c r="E7" s="106"/>
      <c r="F7" s="106"/>
      <c r="G7" s="112"/>
    </row>
    <row r="8" spans="2:7" ht="12.75">
      <c r="B8" s="74" t="s">
        <v>183</v>
      </c>
      <c r="C8" s="75" t="s">
        <v>36</v>
      </c>
      <c r="D8" s="8"/>
      <c r="E8" s="106">
        <f>'Sur Str upgrade'!H7</f>
        <v>1390000</v>
      </c>
      <c r="F8" s="107" t="s">
        <v>36</v>
      </c>
      <c r="G8" s="133" t="s">
        <v>36</v>
      </c>
    </row>
    <row r="9" spans="2:7" ht="12.75">
      <c r="B9" s="74"/>
      <c r="C9" s="75"/>
      <c r="D9" s="106"/>
      <c r="E9" s="106"/>
      <c r="F9" s="106"/>
      <c r="G9" s="112"/>
    </row>
    <row r="10" spans="2:7" ht="12.75">
      <c r="B10" s="74" t="s">
        <v>184</v>
      </c>
      <c r="C10" s="75" t="s">
        <v>36</v>
      </c>
      <c r="D10" s="106">
        <f>'Surface Street new urban'!H7</f>
        <v>2710000</v>
      </c>
      <c r="E10" s="106">
        <f>'Surface Street new urban'!H5</f>
        <v>2440000</v>
      </c>
      <c r="F10" s="106">
        <f>'Surface Street new rural'!H7</f>
        <v>2760000</v>
      </c>
      <c r="G10" s="112">
        <f>'Surface Street new rural'!H5</f>
        <v>2490000</v>
      </c>
    </row>
    <row r="11" spans="2:7" ht="12.75">
      <c r="B11" s="74"/>
      <c r="C11" s="75"/>
      <c r="D11" s="106"/>
      <c r="E11" s="106"/>
      <c r="F11" s="106"/>
      <c r="G11" s="112"/>
    </row>
    <row r="12" spans="2:7" ht="12.75">
      <c r="B12" s="73" t="str">
        <f>'HOV TOT '!C2</f>
        <v>HOV or TOL (in middle w/ barrier)</v>
      </c>
      <c r="C12" s="75" t="s">
        <v>36</v>
      </c>
      <c r="D12" s="106">
        <f>'HOV TOT '!H7</f>
        <v>4250000</v>
      </c>
      <c r="E12" s="134" t="s">
        <v>237</v>
      </c>
      <c r="F12" s="134" t="s">
        <v>237</v>
      </c>
      <c r="G12" s="135" t="s">
        <v>237</v>
      </c>
    </row>
    <row r="13" spans="2:7" ht="12.75">
      <c r="B13" s="74"/>
      <c r="C13" s="75"/>
      <c r="D13" s="106"/>
      <c r="E13" s="106"/>
      <c r="F13" s="106"/>
      <c r="G13" s="112"/>
    </row>
    <row r="14" spans="2:7" ht="12.75">
      <c r="B14" s="74" t="s">
        <v>187</v>
      </c>
      <c r="C14" s="75" t="s">
        <v>36</v>
      </c>
      <c r="D14" s="106">
        <f>'C D  new urban'!H7</f>
        <v>2880000</v>
      </c>
      <c r="E14" s="134" t="s">
        <v>237</v>
      </c>
      <c r="F14" s="134" t="s">
        <v>237</v>
      </c>
      <c r="G14" s="135" t="s">
        <v>237</v>
      </c>
    </row>
    <row r="15" spans="2:7" ht="12.75">
      <c r="B15" s="74"/>
      <c r="C15" s="75"/>
      <c r="D15" s="106"/>
      <c r="E15" s="106"/>
      <c r="F15" s="106"/>
      <c r="G15" s="112"/>
    </row>
    <row r="16" spans="2:7" ht="12.75">
      <c r="B16" s="74" t="s">
        <v>185</v>
      </c>
      <c r="C16" s="75" t="s">
        <v>36</v>
      </c>
      <c r="D16" s="107" t="s">
        <v>36</v>
      </c>
      <c r="E16" s="106"/>
      <c r="F16" s="106">
        <f>'Freeway new rural '!H7</f>
        <v>2100000</v>
      </c>
      <c r="G16" s="112"/>
    </row>
    <row r="17" spans="2:7" ht="12.75">
      <c r="B17" s="92"/>
      <c r="C17" s="93"/>
      <c r="D17" s="106"/>
      <c r="E17" s="106"/>
      <c r="F17" s="106"/>
      <c r="G17" s="112"/>
    </row>
    <row r="18" spans="2:7" ht="12.75">
      <c r="B18" s="92" t="s">
        <v>186</v>
      </c>
      <c r="C18" s="93" t="s">
        <v>36</v>
      </c>
      <c r="D18" s="106">
        <f>'Freeway widen urban'!H7</f>
        <v>2840000</v>
      </c>
      <c r="E18" s="106">
        <f>D18</f>
        <v>2840000</v>
      </c>
      <c r="F18" s="106">
        <f>'Freeway widen rural'!H7</f>
        <v>2340000</v>
      </c>
      <c r="G18" s="112">
        <f>F18</f>
        <v>2340000</v>
      </c>
    </row>
    <row r="19" spans="2:7" ht="12.75">
      <c r="B19" s="92"/>
      <c r="C19" s="93"/>
      <c r="D19" s="106"/>
      <c r="E19" s="106"/>
      <c r="F19" s="106"/>
      <c r="G19" s="112"/>
    </row>
    <row r="20" spans="2:7" ht="13.5" thickBot="1">
      <c r="B20" s="113"/>
      <c r="C20" s="76"/>
      <c r="D20" s="114"/>
      <c r="E20" s="114"/>
      <c r="F20" s="114"/>
      <c r="G20" s="115"/>
    </row>
    <row r="21" ht="13.5" thickBot="1"/>
    <row r="22" spans="2:5" ht="12.75">
      <c r="B22" s="116" t="s">
        <v>194</v>
      </c>
      <c r="C22" s="117"/>
      <c r="D22" s="117" t="s">
        <v>197</v>
      </c>
      <c r="E22" s="124"/>
    </row>
    <row r="23" spans="2:5" ht="12.75">
      <c r="B23" s="120" t="s">
        <v>195</v>
      </c>
      <c r="C23" s="70"/>
      <c r="D23" s="125">
        <f>'Intersection 4X4'!H7</f>
        <v>2400000</v>
      </c>
      <c r="E23" s="127"/>
    </row>
    <row r="24" spans="2:5" ht="12.75">
      <c r="B24" s="120" t="s">
        <v>196</v>
      </c>
      <c r="C24" s="70"/>
      <c r="D24" s="125">
        <f>'Intersection 2X4'!H7</f>
        <v>1900000</v>
      </c>
      <c r="E24" s="127"/>
    </row>
    <row r="25" spans="2:5" ht="12.75">
      <c r="B25" s="120" t="s">
        <v>199</v>
      </c>
      <c r="C25" s="70"/>
      <c r="D25" s="125">
        <f>'Intersection 2X2'!H7</f>
        <v>1400000</v>
      </c>
      <c r="E25" s="127"/>
    </row>
    <row r="26" spans="2:5" ht="12.75">
      <c r="B26" s="120" t="s">
        <v>200</v>
      </c>
      <c r="C26" s="70"/>
      <c r="D26" s="125">
        <f>Database!C73</f>
        <v>160000</v>
      </c>
      <c r="E26" s="127"/>
    </row>
    <row r="27" spans="2:5" ht="13.5" thickBot="1">
      <c r="B27" s="120"/>
      <c r="C27" s="70"/>
      <c r="D27" s="106"/>
      <c r="E27" s="127"/>
    </row>
    <row r="28" spans="2:5" ht="12.75">
      <c r="B28" s="121" t="s">
        <v>222</v>
      </c>
      <c r="C28" s="119"/>
      <c r="D28" s="117" t="s">
        <v>197</v>
      </c>
      <c r="E28" s="128"/>
    </row>
    <row r="29" spans="2:5" ht="12.75">
      <c r="B29" s="120" t="s">
        <v>223</v>
      </c>
      <c r="C29" s="70"/>
      <c r="D29" s="106">
        <f>'Interchange Comp Diamond'!H7</f>
        <v>12000000</v>
      </c>
      <c r="E29" s="127"/>
    </row>
    <row r="30" spans="2:5" ht="12.75">
      <c r="B30" s="120" t="s">
        <v>224</v>
      </c>
      <c r="C30" s="70"/>
      <c r="D30" s="106">
        <f>'Interchange SP Diamond'!H7</f>
        <v>20500000</v>
      </c>
      <c r="E30" s="127"/>
    </row>
    <row r="31" spans="2:5" ht="12.75">
      <c r="B31" s="120" t="s">
        <v>225</v>
      </c>
      <c r="C31" s="70"/>
      <c r="D31" s="106">
        <f>'Interchange Diamond'!H7</f>
        <v>10400000</v>
      </c>
      <c r="E31" s="127"/>
    </row>
    <row r="32" spans="2:5" ht="12.75">
      <c r="B32" s="120" t="s">
        <v>226</v>
      </c>
      <c r="C32" s="70"/>
      <c r="D32" s="106">
        <f>'Interchange Half Diamond'!H7</f>
        <v>6200000</v>
      </c>
      <c r="E32" s="127"/>
    </row>
    <row r="33" spans="2:5" ht="12.75">
      <c r="B33" s="120" t="s">
        <v>227</v>
      </c>
      <c r="C33" s="70"/>
      <c r="D33" s="106">
        <f>'Grade Sep 4 lanes'!H7</f>
        <v>7400000</v>
      </c>
      <c r="E33" s="127"/>
    </row>
    <row r="34" spans="2:5" ht="12.75">
      <c r="B34" s="120" t="s">
        <v>228</v>
      </c>
      <c r="C34" s="70"/>
      <c r="D34" s="106">
        <f>'Grade Sep 2 lanes'!H7</f>
        <v>4800000</v>
      </c>
      <c r="E34" s="127"/>
    </row>
    <row r="35" spans="2:5" ht="12.75">
      <c r="B35" s="120"/>
      <c r="C35" s="70"/>
      <c r="D35" s="106"/>
      <c r="E35" s="127"/>
    </row>
    <row r="36" spans="2:5" ht="12.75">
      <c r="B36" s="123"/>
      <c r="C36" s="70"/>
      <c r="D36" s="106"/>
      <c r="E36" s="127"/>
    </row>
    <row r="37" spans="2:5" ht="12.75">
      <c r="B37" s="121" t="s">
        <v>201</v>
      </c>
      <c r="C37" s="119"/>
      <c r="D37" s="126" t="s">
        <v>203</v>
      </c>
      <c r="E37" s="128"/>
    </row>
    <row r="38" spans="2:5" ht="12.75">
      <c r="B38" s="120" t="s">
        <v>202</v>
      </c>
      <c r="C38" s="70"/>
      <c r="D38" s="125">
        <f>ROUND(Database!C60*12*450*1.1,-4)</f>
        <v>500000</v>
      </c>
      <c r="E38" s="127"/>
    </row>
    <row r="39" spans="2:5" ht="12.75">
      <c r="B39" s="120" t="s">
        <v>206</v>
      </c>
      <c r="C39" s="70"/>
      <c r="D39" s="125">
        <f>Database!C62*250</f>
        <v>1125000</v>
      </c>
      <c r="E39" s="127"/>
    </row>
    <row r="40" spans="2:5" ht="12.75">
      <c r="B40" s="118"/>
      <c r="C40" s="8"/>
      <c r="D40" s="62"/>
      <c r="E40" s="127"/>
    </row>
    <row r="41" spans="2:5" ht="12.75">
      <c r="B41" s="122" t="s">
        <v>216</v>
      </c>
      <c r="C41" s="119"/>
      <c r="D41" s="126" t="s">
        <v>210</v>
      </c>
      <c r="E41" s="128"/>
    </row>
    <row r="42" spans="2:5" ht="12.75">
      <c r="B42" s="120" t="s">
        <v>214</v>
      </c>
      <c r="C42" s="70"/>
      <c r="D42" s="125">
        <f>'Multi Use Trail'!H7</f>
        <v>590000</v>
      </c>
      <c r="E42" s="127"/>
    </row>
    <row r="43" spans="2:5" ht="12.75">
      <c r="B43" s="120" t="s">
        <v>215</v>
      </c>
      <c r="C43" s="70"/>
      <c r="D43" s="125">
        <f>ROUND(Database!C35,-4)</f>
        <v>190000</v>
      </c>
      <c r="E43" s="127"/>
    </row>
    <row r="44" spans="2:5" ht="12.75">
      <c r="B44" s="123"/>
      <c r="C44" s="70"/>
      <c r="D44" s="125"/>
      <c r="E44" s="127"/>
    </row>
    <row r="45" spans="2:5" ht="12.75">
      <c r="B45" s="120" t="s">
        <v>211</v>
      </c>
      <c r="C45" s="70"/>
      <c r="D45" s="125">
        <f>ROUND(Database!C15,-3)</f>
        <v>1000</v>
      </c>
      <c r="E45" s="127" t="s">
        <v>213</v>
      </c>
    </row>
    <row r="46" spans="2:5" ht="12.75">
      <c r="B46" s="120"/>
      <c r="C46" s="70"/>
      <c r="D46" s="106"/>
      <c r="E46" s="127"/>
    </row>
    <row r="47" spans="2:5" ht="12.75">
      <c r="B47" s="130" t="s">
        <v>217</v>
      </c>
      <c r="C47" s="119"/>
      <c r="D47" s="129"/>
      <c r="E47" s="128"/>
    </row>
    <row r="48" spans="2:5" ht="12.75">
      <c r="B48" s="120" t="s">
        <v>218</v>
      </c>
      <c r="C48" s="106">
        <f>Database!C54</f>
        <v>22</v>
      </c>
      <c r="D48" s="106">
        <f>ROUND(C48*15*5280,-4)</f>
        <v>1740000</v>
      </c>
      <c r="E48" s="127" t="s">
        <v>107</v>
      </c>
    </row>
    <row r="49" spans="2:5" ht="12.75">
      <c r="B49" s="120"/>
      <c r="C49" s="70"/>
      <c r="D49" s="106"/>
      <c r="E49" s="127"/>
    </row>
    <row r="50" spans="2:5" ht="12.75">
      <c r="B50" s="130" t="s">
        <v>220</v>
      </c>
      <c r="C50" s="119"/>
      <c r="D50" s="129"/>
      <c r="E50" s="128"/>
    </row>
    <row r="51" spans="2:5" ht="12.75">
      <c r="B51" s="120" t="s">
        <v>221</v>
      </c>
      <c r="C51" s="106">
        <f>Database!C57</f>
        <v>60</v>
      </c>
      <c r="D51" s="106">
        <f>ROUND(C51*12*5280,-4)</f>
        <v>3800000</v>
      </c>
      <c r="E51" s="127" t="s">
        <v>107</v>
      </c>
    </row>
    <row r="52" spans="2:5" ht="13.5" thickBot="1">
      <c r="B52" s="131"/>
      <c r="C52" s="71"/>
      <c r="D52" s="114"/>
      <c r="E52" s="132"/>
    </row>
    <row r="53" ht="12.75">
      <c r="D53" s="57"/>
    </row>
    <row r="83" ht="15.75" customHeight="1"/>
  </sheetData>
  <mergeCells count="7">
    <mergeCell ref="B1:D1"/>
    <mergeCell ref="B2:D2"/>
    <mergeCell ref="B3:B4"/>
    <mergeCell ref="C3:C4"/>
    <mergeCell ref="D3:G3"/>
    <mergeCell ref="D4:E4"/>
    <mergeCell ref="F4:G4"/>
  </mergeCells>
  <printOptions/>
  <pageMargins left="0.75" right="0.75" top="1" bottom="1" header="0.5" footer="0.5"/>
  <pageSetup fitToHeight="1" fitToWidth="1" horizontalDpi="600" verticalDpi="600" orientation="portrait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H7" sqref="H7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8515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174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5" ht="12.75">
      <c r="B5" s="4" t="s">
        <v>4</v>
      </c>
      <c r="C5" s="148">
        <v>1</v>
      </c>
      <c r="D5" s="149"/>
      <c r="E5" s="149"/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172</v>
      </c>
      <c r="G7" s="99"/>
      <c r="H7" s="108">
        <f>ROUND(I10+I11+I13,-4)</f>
        <v>2000000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171</v>
      </c>
    </row>
    <row r="10" spans="2:9" ht="12.75">
      <c r="B10" s="13" t="s">
        <v>26</v>
      </c>
      <c r="C10" s="84">
        <f>H110+(H113*H111)</f>
        <v>297159.63264988887</v>
      </c>
      <c r="D10" s="85">
        <f>C10/$C$7</f>
        <v>297159.63264988887</v>
      </c>
      <c r="E10" s="83">
        <v>2006</v>
      </c>
      <c r="F10" s="86">
        <f>C10*(1+Database!H$3)^(E10-2005)</f>
        <v>309046.01795588445</v>
      </c>
      <c r="G10" s="150">
        <f>F10*(1+Database!C$3)</f>
        <v>309046.01795588445</v>
      </c>
      <c r="H10" s="151"/>
      <c r="I10" s="100">
        <f>G10/E$17</f>
        <v>154523.00897794223</v>
      </c>
    </row>
    <row r="11" spans="2:9" ht="12.75">
      <c r="B11" s="13" t="s">
        <v>82</v>
      </c>
      <c r="C11" s="84">
        <f>H107+(H108*H113)</f>
        <v>59431.926529977776</v>
      </c>
      <c r="D11" s="85">
        <f>C11/$C$7</f>
        <v>59431.926529977776</v>
      </c>
      <c r="E11" s="83">
        <v>2008</v>
      </c>
      <c r="F11" s="86">
        <f>C11*(1+Database!H$3)^(E11-2005)</f>
        <v>66852.83460421693</v>
      </c>
      <c r="G11" s="150">
        <f>F11*(1+Database!C$3)</f>
        <v>66852.83460421693</v>
      </c>
      <c r="H11" s="151"/>
      <c r="I11" s="100">
        <f>G11/E$17</f>
        <v>33426.417302108464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00">
        <f>G12/E$17</f>
        <v>0</v>
      </c>
    </row>
    <row r="13" spans="2:9" ht="12.75">
      <c r="B13" s="13" t="s">
        <v>34</v>
      </c>
      <c r="C13" s="84">
        <f>H84+(H113*H85)</f>
        <v>2971596.3264988884</v>
      </c>
      <c r="D13" s="85">
        <f>C13/$C$7</f>
        <v>2971596.3264988884</v>
      </c>
      <c r="E13" s="83">
        <v>2010</v>
      </c>
      <c r="F13" s="86">
        <f>C13*(1+Database!H$3)^(E13-2005)</f>
        <v>3615401.295396052</v>
      </c>
      <c r="G13" s="150">
        <f>F13*(1+Database!C$3)</f>
        <v>3615401.295396052</v>
      </c>
      <c r="H13" s="151"/>
      <c r="I13" s="100">
        <f>G13/E$17</f>
        <v>1807700.647698026</v>
      </c>
    </row>
    <row r="14" spans="2:9" ht="13.5" thickBot="1">
      <c r="B14" s="14" t="s">
        <v>35</v>
      </c>
      <c r="C14" s="89">
        <f>SUM(C10:C13)</f>
        <v>3328187.885678755</v>
      </c>
      <c r="D14" s="90">
        <f>C14/$C$7</f>
        <v>3328187.885678755</v>
      </c>
      <c r="E14" s="91" t="s">
        <v>35</v>
      </c>
      <c r="F14" s="89">
        <f>SUM(F10:F13)</f>
        <v>3991300.1479561534</v>
      </c>
      <c r="G14" s="152">
        <f>F14*(1+Database!C$3)</f>
        <v>3991300.1479561534</v>
      </c>
      <c r="H14" s="153"/>
      <c r="I14" s="100">
        <f>G14/E$17</f>
        <v>1995650.0739780767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1</v>
      </c>
      <c r="E17" s="37">
        <v>2</v>
      </c>
      <c r="F17" s="8">
        <f>D17*E17</f>
        <v>2</v>
      </c>
      <c r="G17" s="8"/>
      <c r="H17" s="19">
        <f>C17*F17</f>
        <v>676860.8</v>
      </c>
      <c r="I17" s="40"/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1</v>
      </c>
      <c r="E19" s="37">
        <v>2</v>
      </c>
      <c r="F19" s="8">
        <f>D19*E19</f>
        <v>2</v>
      </c>
      <c r="G19" s="8"/>
      <c r="H19" s="19">
        <f>C19*F19</f>
        <v>94089.6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0.2</v>
      </c>
      <c r="E21" s="7">
        <v>2</v>
      </c>
      <c r="F21" s="8">
        <f>D21*E21</f>
        <v>0.4</v>
      </c>
      <c r="G21" s="8"/>
      <c r="H21" s="19">
        <f>C21*F21</f>
        <v>135372.16</v>
      </c>
      <c r="I21" s="40"/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0.405337693164782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1</v>
      </c>
      <c r="E24" s="37">
        <v>1</v>
      </c>
      <c r="F24" s="8"/>
      <c r="G24" s="8"/>
      <c r="H24" s="19">
        <f aca="true" t="shared" si="0" ref="H24:H39">C24*D24*E24</f>
        <v>17120.565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1</v>
      </c>
      <c r="F25" s="8"/>
      <c r="G25" s="8"/>
      <c r="H25" s="19">
        <f t="shared" si="0"/>
        <v>180000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1</v>
      </c>
      <c r="E26" s="37">
        <v>1</v>
      </c>
      <c r="F26" s="8"/>
      <c r="G26" s="8"/>
      <c r="H26" s="19">
        <f t="shared" si="0"/>
        <v>85000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1</v>
      </c>
      <c r="E27" s="37">
        <v>1</v>
      </c>
      <c r="F27" s="8"/>
      <c r="G27" s="8"/>
      <c r="H27" s="19">
        <f t="shared" si="0"/>
        <v>165000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1</v>
      </c>
      <c r="E28" s="37">
        <v>1</v>
      </c>
      <c r="F28" s="8"/>
      <c r="G28" s="8"/>
      <c r="H28" s="19">
        <f t="shared" si="0"/>
        <v>750000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</v>
      </c>
      <c r="E29" s="37">
        <v>1</v>
      </c>
      <c r="F29" s="8"/>
      <c r="G29" s="8"/>
      <c r="H29" s="19">
        <f t="shared" si="0"/>
        <v>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</v>
      </c>
      <c r="E30" s="37">
        <v>1</v>
      </c>
      <c r="F30" s="8"/>
      <c r="G30" s="8"/>
      <c r="H30" s="19">
        <f t="shared" si="0"/>
        <v>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1</v>
      </c>
      <c r="E31" s="37">
        <v>1</v>
      </c>
      <c r="F31" s="8"/>
      <c r="G31" s="8"/>
      <c r="H31" s="19">
        <f t="shared" si="0"/>
        <v>120000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1</v>
      </c>
      <c r="E32" s="37">
        <v>1</v>
      </c>
      <c r="F32" s="8"/>
      <c r="G32" s="8"/>
      <c r="H32" s="19">
        <f t="shared" si="0"/>
        <v>38000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1</v>
      </c>
      <c r="E33" s="37">
        <v>1</v>
      </c>
      <c r="F33" s="8" t="s">
        <v>36</v>
      </c>
      <c r="G33" s="8"/>
      <c r="H33" s="19">
        <f t="shared" si="0"/>
        <v>116363.63636363635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1</v>
      </c>
      <c r="E34" s="37">
        <v>1</v>
      </c>
      <c r="F34" s="8"/>
      <c r="G34" s="8"/>
      <c r="H34" s="19">
        <f t="shared" si="0"/>
        <v>38000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1</v>
      </c>
      <c r="E35" s="37">
        <v>1</v>
      </c>
      <c r="F35" s="8"/>
      <c r="G35" s="8"/>
      <c r="H35" s="19">
        <f t="shared" si="0"/>
        <v>255644.44444444444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1</v>
      </c>
      <c r="E36" s="37">
        <v>1</v>
      </c>
      <c r="F36" s="8"/>
      <c r="G36" s="8"/>
      <c r="H36" s="19">
        <f t="shared" si="0"/>
        <v>30000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</v>
      </c>
      <c r="E37" s="37">
        <v>1</v>
      </c>
      <c r="F37" s="8"/>
      <c r="G37" s="8"/>
      <c r="H37" s="19">
        <f t="shared" si="0"/>
        <v>0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2701451.2059080806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4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50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0</v>
      </c>
      <c r="F67" s="8"/>
      <c r="G67" s="8"/>
      <c r="H67" s="19">
        <f aca="true" t="shared" si="2" ref="H67:H72">C67*D67*E67</f>
        <v>0</v>
      </c>
      <c r="I67" s="40" t="s">
        <v>57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51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49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56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0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v>200000</v>
      </c>
      <c r="D81" s="7">
        <v>0</v>
      </c>
      <c r="E81" s="8"/>
      <c r="F81" s="8"/>
      <c r="G81" s="8"/>
      <c r="H81" s="19">
        <f>C81*D81</f>
        <v>0</v>
      </c>
      <c r="I81" s="40"/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2701451.2059080806</v>
      </c>
      <c r="I84" s="68" t="s">
        <v>36</v>
      </c>
      <c r="J84" t="s">
        <v>36</v>
      </c>
    </row>
    <row r="85" spans="8:9" ht="12.75">
      <c r="H85" s="52">
        <f>H84/$H$114</f>
        <v>0.8928571428571429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12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18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>
        <v>0</v>
      </c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1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54029.024118161615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54029.024118161615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270145.12059080804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302562.53506170504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3025625.35061705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3328187.885678755</v>
      </c>
      <c r="I115" s="68" t="s">
        <v>36</v>
      </c>
      <c r="J115" t="s">
        <v>36</v>
      </c>
    </row>
  </sheetData>
  <mergeCells count="11">
    <mergeCell ref="C6:H6"/>
    <mergeCell ref="C2:H2"/>
    <mergeCell ref="C3:E3"/>
    <mergeCell ref="C4:E4"/>
    <mergeCell ref="C5:E5"/>
    <mergeCell ref="G13:H13"/>
    <mergeCell ref="G14:H14"/>
    <mergeCell ref="G9:H9"/>
    <mergeCell ref="G10:H10"/>
    <mergeCell ref="G11:H11"/>
    <mergeCell ref="G12:H12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I7" sqref="I7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8515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235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5" ht="12.75">
      <c r="B5" s="4" t="s">
        <v>4</v>
      </c>
      <c r="C5" s="148">
        <v>1</v>
      </c>
      <c r="D5" s="149"/>
      <c r="E5" s="149"/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172</v>
      </c>
      <c r="G7" s="99"/>
      <c r="H7" s="108">
        <f>ROUND(I10+I11+I13,-4)</f>
        <v>1390000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171</v>
      </c>
    </row>
    <row r="10" spans="2:9" ht="12.75">
      <c r="B10" s="13" t="s">
        <v>26</v>
      </c>
      <c r="C10" s="84">
        <f>H110+(H113*H111)</f>
        <v>206608.57416100003</v>
      </c>
      <c r="D10" s="85">
        <f>C10/$C$7</f>
        <v>206608.57416100003</v>
      </c>
      <c r="E10" s="83">
        <v>2006</v>
      </c>
      <c r="F10" s="86">
        <f>C10*(1+Database!H$3)^(E10-2005)</f>
        <v>214872.91712744004</v>
      </c>
      <c r="G10" s="150">
        <f>F10*(1+Database!C$3)</f>
        <v>214872.91712744004</v>
      </c>
      <c r="H10" s="151"/>
      <c r="I10" s="100">
        <f>G10/E$17</f>
        <v>107436.45856372002</v>
      </c>
    </row>
    <row r="11" spans="2:9" ht="12.75">
      <c r="B11" s="13" t="s">
        <v>82</v>
      </c>
      <c r="C11" s="84">
        <f>H107+(H108*H113)</f>
        <v>41321.7148322</v>
      </c>
      <c r="D11" s="85">
        <f>C11/$C$7</f>
        <v>41321.7148322</v>
      </c>
      <c r="E11" s="83">
        <v>2008</v>
      </c>
      <c r="F11" s="86">
        <f>C11*(1+Database!H$3)^(E11-2005)</f>
        <v>46481.309433007824</v>
      </c>
      <c r="G11" s="150">
        <f>F11*(1+Database!C$3)</f>
        <v>46481.309433007824</v>
      </c>
      <c r="H11" s="151"/>
      <c r="I11" s="100">
        <f>G11/E$17</f>
        <v>23240.654716503912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00">
        <f>G12/E$17</f>
        <v>0</v>
      </c>
    </row>
    <row r="13" spans="2:9" ht="12.75">
      <c r="B13" s="13" t="s">
        <v>34</v>
      </c>
      <c r="C13" s="84">
        <f>H84+(H113*H85)</f>
        <v>2066085.74161</v>
      </c>
      <c r="D13" s="85">
        <f>C13/$C$7</f>
        <v>2066085.74161</v>
      </c>
      <c r="E13" s="83">
        <v>2010</v>
      </c>
      <c r="F13" s="86">
        <f>C13*(1+Database!H$3)^(E13-2005)</f>
        <v>2513709.2141370634</v>
      </c>
      <c r="G13" s="150">
        <f>F13*(1+Database!C$3)</f>
        <v>2513709.2141370634</v>
      </c>
      <c r="H13" s="151"/>
      <c r="I13" s="100">
        <f>G13/E$17</f>
        <v>1256854.6070685317</v>
      </c>
    </row>
    <row r="14" spans="2:9" ht="13.5" thickBot="1">
      <c r="B14" s="14" t="s">
        <v>35</v>
      </c>
      <c r="C14" s="89">
        <f>SUM(C10:C13)</f>
        <v>2314016.0306031997</v>
      </c>
      <c r="D14" s="90">
        <f>C14/$C$7</f>
        <v>2314016.0306031997</v>
      </c>
      <c r="E14" s="91" t="s">
        <v>35</v>
      </c>
      <c r="F14" s="89">
        <f>SUM(F10:F13)</f>
        <v>2775063.440697511</v>
      </c>
      <c r="G14" s="152">
        <f>F14*(1+Database!C$3)</f>
        <v>2775063.440697511</v>
      </c>
      <c r="H14" s="153"/>
      <c r="I14" s="100">
        <f>G14/E$17</f>
        <v>1387531.7203487556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0</v>
      </c>
      <c r="E17" s="37">
        <v>2</v>
      </c>
      <c r="F17" s="8">
        <f>D17*E17</f>
        <v>0</v>
      </c>
      <c r="G17" s="8"/>
      <c r="H17" s="19">
        <f>C17*F17</f>
        <v>0</v>
      </c>
      <c r="I17" s="40"/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1</v>
      </c>
      <c r="E19" s="37">
        <v>2</v>
      </c>
      <c r="F19" s="8">
        <f>D19*E19</f>
        <v>2</v>
      </c>
      <c r="G19" s="8"/>
      <c r="H19" s="19">
        <f>C19*F19</f>
        <v>94089.6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1</v>
      </c>
      <c r="E20" s="7">
        <v>2</v>
      </c>
      <c r="F20" s="8">
        <f>D20*E20</f>
        <v>2</v>
      </c>
      <c r="G20" s="8"/>
      <c r="H20" s="19">
        <f>C20*F20</f>
        <v>210249.6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</v>
      </c>
      <c r="E21" s="7">
        <v>2</v>
      </c>
      <c r="F21" s="8">
        <f>D21*E21</f>
        <v>0</v>
      </c>
      <c r="G21" s="8"/>
      <c r="H21" s="19">
        <f>C21*F21</f>
        <v>0</v>
      </c>
      <c r="I21" s="40"/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0.18368066356446278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1</v>
      </c>
      <c r="E24" s="37">
        <v>1</v>
      </c>
      <c r="F24" s="8"/>
      <c r="G24" s="8"/>
      <c r="H24" s="19">
        <f aca="true" t="shared" si="0" ref="H24:H39">C24*D24*E24</f>
        <v>17120.565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1</v>
      </c>
      <c r="F25" s="8"/>
      <c r="G25" s="8"/>
      <c r="H25" s="19">
        <f t="shared" si="0"/>
        <v>180000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1</v>
      </c>
      <c r="E26" s="37">
        <v>1</v>
      </c>
      <c r="F26" s="8"/>
      <c r="G26" s="8"/>
      <c r="H26" s="19">
        <f t="shared" si="0"/>
        <v>85000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1</v>
      </c>
      <c r="E27" s="37">
        <v>1</v>
      </c>
      <c r="F27" s="8"/>
      <c r="G27" s="8"/>
      <c r="H27" s="19">
        <f t="shared" si="0"/>
        <v>165000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0</v>
      </c>
      <c r="E28" s="37">
        <v>1</v>
      </c>
      <c r="F28" s="8"/>
      <c r="G28" s="8"/>
      <c r="H28" s="19">
        <f t="shared" si="0"/>
        <v>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1</v>
      </c>
      <c r="E29" s="37">
        <v>1</v>
      </c>
      <c r="F29" s="8"/>
      <c r="G29" s="8"/>
      <c r="H29" s="19">
        <f t="shared" si="0"/>
        <v>596000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1</v>
      </c>
      <c r="E30" s="37">
        <v>1</v>
      </c>
      <c r="F30" s="8"/>
      <c r="G30" s="8"/>
      <c r="H30" s="19">
        <f t="shared" si="0"/>
        <v>211200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</v>
      </c>
      <c r="E31" s="37">
        <v>1</v>
      </c>
      <c r="F31" s="8"/>
      <c r="G31" s="8"/>
      <c r="H31" s="19">
        <f t="shared" si="0"/>
        <v>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1</v>
      </c>
      <c r="E32" s="37">
        <v>1</v>
      </c>
      <c r="F32" s="8"/>
      <c r="G32" s="8"/>
      <c r="H32" s="19">
        <f t="shared" si="0"/>
        <v>38000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0</v>
      </c>
      <c r="E33" s="37">
        <v>1</v>
      </c>
      <c r="F33" s="8" t="s">
        <v>36</v>
      </c>
      <c r="G33" s="8"/>
      <c r="H33" s="19">
        <f t="shared" si="0"/>
        <v>0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0</v>
      </c>
      <c r="E34" s="37">
        <v>1</v>
      </c>
      <c r="F34" s="8"/>
      <c r="G34" s="8"/>
      <c r="H34" s="19">
        <f t="shared" si="0"/>
        <v>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</v>
      </c>
      <c r="E35" s="37">
        <v>1</v>
      </c>
      <c r="F35" s="8"/>
      <c r="G35" s="8"/>
      <c r="H35" s="19">
        <f t="shared" si="0"/>
        <v>0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0</v>
      </c>
      <c r="E36" s="37">
        <v>1</v>
      </c>
      <c r="F36" s="8"/>
      <c r="G36" s="8"/>
      <c r="H36" s="19">
        <f t="shared" si="0"/>
        <v>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1</v>
      </c>
      <c r="E37" s="37">
        <v>1.5</v>
      </c>
      <c r="F37" s="8"/>
      <c r="G37" s="8"/>
      <c r="H37" s="19">
        <f t="shared" si="0"/>
        <v>281600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1878259.7651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4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50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0</v>
      </c>
      <c r="F67" s="8"/>
      <c r="G67" s="8"/>
      <c r="H67" s="19">
        <f aca="true" t="shared" si="2" ref="H67:H72">C67*D67*E67</f>
        <v>0</v>
      </c>
      <c r="I67" s="40" t="s">
        <v>57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51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49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56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0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v>200000</v>
      </c>
      <c r="D81" s="7">
        <v>0</v>
      </c>
      <c r="E81" s="8"/>
      <c r="F81" s="8"/>
      <c r="G81" s="8"/>
      <c r="H81" s="19">
        <f>C81*D81</f>
        <v>0</v>
      </c>
      <c r="I81" s="40"/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1878259.7651</v>
      </c>
      <c r="I84" s="68" t="s">
        <v>36</v>
      </c>
      <c r="J84" t="s">
        <v>36</v>
      </c>
    </row>
    <row r="85" spans="8:9" ht="12.75">
      <c r="H85" s="52">
        <f>H84/$H$114</f>
        <v>0.8928571428571428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0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18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>
        <v>0</v>
      </c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1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37565.195302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37565.195302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0.017857142857142856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187825.97651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210365.09369120002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2103650.936912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2314016.0306032</v>
      </c>
      <c r="I115" s="68" t="s">
        <v>36</v>
      </c>
      <c r="J115" t="s">
        <v>36</v>
      </c>
    </row>
  </sheetData>
  <mergeCells count="11">
    <mergeCell ref="C6:H6"/>
    <mergeCell ref="C2:H2"/>
    <mergeCell ref="C3:E3"/>
    <mergeCell ref="C4:E4"/>
    <mergeCell ref="C5:E5"/>
    <mergeCell ref="G13:H13"/>
    <mergeCell ref="G14:H14"/>
    <mergeCell ref="G9:H9"/>
    <mergeCell ref="G10:H10"/>
    <mergeCell ref="G11:H11"/>
    <mergeCell ref="G12:H12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229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8" ht="12.75">
      <c r="B5" s="4" t="s">
        <v>4</v>
      </c>
      <c r="C5" s="148">
        <v>1</v>
      </c>
      <c r="D5" s="149"/>
      <c r="E5" s="149"/>
      <c r="G5" s="99" t="s">
        <v>36</v>
      </c>
      <c r="H5" s="109" t="s">
        <v>36</v>
      </c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36</v>
      </c>
      <c r="G7" s="99"/>
      <c r="H7" s="108">
        <f>ROUND(G14,-5)</f>
        <v>10400000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36</v>
      </c>
    </row>
    <row r="10" spans="2:9" ht="12.75">
      <c r="B10" s="13" t="s">
        <v>26</v>
      </c>
      <c r="C10" s="84">
        <f>H110+(H113*H111)</f>
        <v>775340.8417887777</v>
      </c>
      <c r="D10" s="85">
        <f>C10/$C$7</f>
        <v>775340.8417887777</v>
      </c>
      <c r="E10" s="83">
        <v>2006</v>
      </c>
      <c r="F10" s="86">
        <f>C10*(1+Database!H$3)^(E10-2005)</f>
        <v>806354.4754603289</v>
      </c>
      <c r="G10" s="150">
        <f>F10*(1+Database!C$3)</f>
        <v>806354.4754603289</v>
      </c>
      <c r="H10" s="151"/>
      <c r="I10" s="110" t="s">
        <v>36</v>
      </c>
    </row>
    <row r="11" spans="2:9" ht="12.75">
      <c r="B11" s="13" t="s">
        <v>82</v>
      </c>
      <c r="C11" s="84">
        <f>H107+(H108*H113)</f>
        <v>155068.16835775555</v>
      </c>
      <c r="D11" s="85">
        <f>C11/$C$7</f>
        <v>155068.16835775555</v>
      </c>
      <c r="E11" s="83">
        <v>2008</v>
      </c>
      <c r="F11" s="86">
        <f>C11*(1+Database!H$3)^(E11-2005)</f>
        <v>174430.60013157837</v>
      </c>
      <c r="G11" s="150">
        <f>F11*(1+Database!C$3)</f>
        <v>174430.60013157837</v>
      </c>
      <c r="H11" s="151"/>
      <c r="I11" s="110" t="s">
        <v>36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10" t="s">
        <v>36</v>
      </c>
    </row>
    <row r="13" spans="2:9" ht="12.75">
      <c r="B13" s="13" t="s">
        <v>34</v>
      </c>
      <c r="C13" s="84">
        <f>H84+(H113*H85)</f>
        <v>7753408.417887777</v>
      </c>
      <c r="D13" s="85">
        <f>C13/$C$7</f>
        <v>7753408.417887777</v>
      </c>
      <c r="E13" s="83">
        <v>2010</v>
      </c>
      <c r="F13" s="86">
        <f>C13*(1+Database!H$3)^(E13-2005)</f>
        <v>9433206.855115758</v>
      </c>
      <c r="G13" s="150">
        <f>F13*(1+Database!C$3)</f>
        <v>9433206.855115758</v>
      </c>
      <c r="H13" s="151"/>
      <c r="I13" s="110" t="s">
        <v>36</v>
      </c>
    </row>
    <row r="14" spans="2:9" ht="13.5" thickBot="1">
      <c r="B14" s="14" t="s">
        <v>35</v>
      </c>
      <c r="C14" s="89">
        <f>SUM(C10:C13)</f>
        <v>8683817.428034311</v>
      </c>
      <c r="D14" s="90">
        <f>C14/$C$7</f>
        <v>8683817.428034311</v>
      </c>
      <c r="E14" s="91" t="s">
        <v>35</v>
      </c>
      <c r="F14" s="89">
        <f>SUM(F10:F13)</f>
        <v>10413991.930707665</v>
      </c>
      <c r="G14" s="152">
        <f>F14*(1+Database!C$3)</f>
        <v>10413991.930707665</v>
      </c>
      <c r="H14" s="153"/>
      <c r="I14" s="110" t="s">
        <v>36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0.5</v>
      </c>
      <c r="E17" s="37">
        <v>4</v>
      </c>
      <c r="F17" s="8">
        <f>D17*E17</f>
        <v>2</v>
      </c>
      <c r="G17" s="8"/>
      <c r="H17" s="19">
        <f>C17*F17</f>
        <v>676860.8</v>
      </c>
      <c r="I17" s="40"/>
    </row>
    <row r="18" spans="2:9" ht="12.75">
      <c r="B18" s="18" t="s">
        <v>230</v>
      </c>
      <c r="C18" s="6">
        <f>Database!C6</f>
        <v>338430.4</v>
      </c>
      <c r="D18" s="37">
        <v>2</v>
      </c>
      <c r="E18" s="37">
        <v>2</v>
      </c>
      <c r="F18" s="8">
        <f>D18*E18</f>
        <v>4</v>
      </c>
      <c r="G18" s="8"/>
      <c r="H18" s="19">
        <f>C18*F18</f>
        <v>1353721.6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</v>
      </c>
      <c r="E21" s="7">
        <v>4</v>
      </c>
      <c r="F21" s="8">
        <f>D21*E21</f>
        <v>0</v>
      </c>
      <c r="G21" s="8"/>
      <c r="H21" s="19">
        <f>C21*F21</f>
        <v>0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0.11704529815639787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0</v>
      </c>
      <c r="E24" s="37">
        <v>1</v>
      </c>
      <c r="F24" s="8"/>
      <c r="G24" s="8"/>
      <c r="H24" s="19">
        <f aca="true" t="shared" si="0" ref="H24:H39"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1</v>
      </c>
      <c r="F25" s="8"/>
      <c r="G25" s="8"/>
      <c r="H25" s="19">
        <f t="shared" si="0"/>
        <v>180000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0.5</v>
      </c>
      <c r="E26" s="37">
        <v>1</v>
      </c>
      <c r="F26" s="8"/>
      <c r="G26" s="8"/>
      <c r="H26" s="19">
        <f t="shared" si="0"/>
        <v>42500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0.5</v>
      </c>
      <c r="E27" s="37">
        <v>1</v>
      </c>
      <c r="F27" s="8"/>
      <c r="G27" s="8"/>
      <c r="H27" s="19">
        <f t="shared" si="0"/>
        <v>82500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0.5</v>
      </c>
      <c r="E28" s="37">
        <v>1.5</v>
      </c>
      <c r="F28" s="8"/>
      <c r="G28" s="8"/>
      <c r="H28" s="19">
        <f t="shared" si="0"/>
        <v>562500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0.5</v>
      </c>
      <c r="E29" s="37">
        <v>1</v>
      </c>
      <c r="F29" s="8"/>
      <c r="G29" s="8"/>
      <c r="H29" s="19">
        <f t="shared" si="0"/>
        <v>298000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0.5</v>
      </c>
      <c r="E30" s="37">
        <v>1</v>
      </c>
      <c r="F30" s="8"/>
      <c r="G30" s="8"/>
      <c r="H30" s="19">
        <f t="shared" si="0"/>
        <v>105600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</v>
      </c>
      <c r="E31" s="37">
        <v>1</v>
      </c>
      <c r="F31" s="8"/>
      <c r="G31" s="8"/>
      <c r="H31" s="19">
        <f t="shared" si="0"/>
        <v>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0.5</v>
      </c>
      <c r="E32" s="37">
        <v>2</v>
      </c>
      <c r="F32" s="8"/>
      <c r="G32" s="8"/>
      <c r="H32" s="19">
        <f t="shared" si="0"/>
        <v>38000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0.5</v>
      </c>
      <c r="E33" s="37">
        <v>1</v>
      </c>
      <c r="F33" s="8" t="s">
        <v>36</v>
      </c>
      <c r="G33" s="8"/>
      <c r="H33" s="19">
        <f t="shared" si="0"/>
        <v>58181.81818181818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0.5</v>
      </c>
      <c r="E34" s="37">
        <v>1</v>
      </c>
      <c r="F34" s="8"/>
      <c r="G34" s="8"/>
      <c r="H34" s="19">
        <f t="shared" si="0"/>
        <v>19000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0.5</v>
      </c>
      <c r="E35" s="37">
        <v>1</v>
      </c>
      <c r="F35" s="8"/>
      <c r="G35" s="8"/>
      <c r="H35" s="19">
        <f t="shared" si="0"/>
        <v>127822.22222222222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1</v>
      </c>
      <c r="E36" s="37">
        <v>1</v>
      </c>
      <c r="F36" s="8"/>
      <c r="G36" s="8"/>
      <c r="H36" s="19">
        <f t="shared" si="0"/>
        <v>30000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0.5</v>
      </c>
      <c r="E37" s="37">
        <v>1</v>
      </c>
      <c r="F37" s="8"/>
      <c r="G37" s="8"/>
      <c r="H37" s="19">
        <f t="shared" si="0"/>
        <v>93866.66666666667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3668553.107170707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162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15</v>
      </c>
      <c r="F67" s="8"/>
      <c r="G67" s="8"/>
      <c r="H67" s="19">
        <f aca="true" t="shared" si="2" ref="H67:H72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20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450</v>
      </c>
      <c r="E69" s="7">
        <v>80</v>
      </c>
      <c r="F69" s="8"/>
      <c r="G69" s="8"/>
      <c r="H69" s="19">
        <f t="shared" si="2"/>
        <v>3060000</v>
      </c>
      <c r="I69" s="40" t="s">
        <v>36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36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36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6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2</v>
      </c>
      <c r="E81" s="8"/>
      <c r="F81" s="8"/>
      <c r="G81" s="8"/>
      <c r="H81" s="19">
        <f>C81*D81</f>
        <v>320000</v>
      </c>
      <c r="I81" s="40" t="s">
        <v>36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3380000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7048553.107170707</v>
      </c>
      <c r="I84" s="68" t="s">
        <v>36</v>
      </c>
      <c r="J84" t="s">
        <v>36</v>
      </c>
    </row>
    <row r="85" spans="8:9" ht="12.75">
      <c r="H85" s="52">
        <f>H84/$H$114</f>
        <v>0.8928571428571429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0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/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0.75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140971.06214341414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140971.06214341414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0.017857142857142856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704855.3107170707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789437.9480031192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7894379.480031191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8683817.428034311</v>
      </c>
      <c r="I115" s="68" t="s">
        <v>36</v>
      </c>
      <c r="J115" t="s">
        <v>36</v>
      </c>
    </row>
  </sheetData>
  <mergeCells count="11">
    <mergeCell ref="G13:H13"/>
    <mergeCell ref="G14:H14"/>
    <mergeCell ref="G9:H9"/>
    <mergeCell ref="G10:H10"/>
    <mergeCell ref="G11:H11"/>
    <mergeCell ref="G12:H12"/>
    <mergeCell ref="C6:H6"/>
    <mergeCell ref="C2:H2"/>
    <mergeCell ref="C3:E3"/>
    <mergeCell ref="C4:E4"/>
    <mergeCell ref="C5:E5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229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8" ht="12.75">
      <c r="B5" s="4" t="s">
        <v>4</v>
      </c>
      <c r="C5" s="148">
        <v>1</v>
      </c>
      <c r="D5" s="149"/>
      <c r="E5" s="149"/>
      <c r="G5" s="99" t="s">
        <v>36</v>
      </c>
      <c r="H5" s="109" t="s">
        <v>36</v>
      </c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36</v>
      </c>
      <c r="G7" s="99"/>
      <c r="H7" s="108">
        <f>ROUND(G14,-5)</f>
        <v>6200000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36</v>
      </c>
    </row>
    <row r="10" spans="2:9" ht="12.75">
      <c r="B10" s="13" t="s">
        <v>26</v>
      </c>
      <c r="C10" s="84">
        <f>H110+(H113*H111)</f>
        <v>460673.36534433335</v>
      </c>
      <c r="D10" s="85">
        <f>C10/$C$7</f>
        <v>460673.36534433335</v>
      </c>
      <c r="E10" s="83">
        <v>2006</v>
      </c>
      <c r="F10" s="86">
        <f>C10*(1+Database!H$3)^(E10-2005)</f>
        <v>479100.2999581067</v>
      </c>
      <c r="G10" s="150">
        <f>F10*(1+Database!C$3)</f>
        <v>479100.2999581067</v>
      </c>
      <c r="H10" s="151"/>
      <c r="I10" s="110" t="s">
        <v>36</v>
      </c>
    </row>
    <row r="11" spans="2:9" ht="12.75">
      <c r="B11" s="13" t="s">
        <v>82</v>
      </c>
      <c r="C11" s="84">
        <f>H107+(H108*H113)</f>
        <v>92134.67306886667</v>
      </c>
      <c r="D11" s="85">
        <f>C11/$C$7</f>
        <v>92134.67306886667</v>
      </c>
      <c r="E11" s="83">
        <v>2008</v>
      </c>
      <c r="F11" s="86">
        <f>C11*(1+Database!H$3)^(E11-2005)</f>
        <v>103638.97688693764</v>
      </c>
      <c r="G11" s="150">
        <f>F11*(1+Database!C$3)</f>
        <v>103638.97688693764</v>
      </c>
      <c r="H11" s="151"/>
      <c r="I11" s="110" t="s">
        <v>36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10" t="s">
        <v>36</v>
      </c>
    </row>
    <row r="13" spans="2:9" ht="12.75">
      <c r="B13" s="13" t="s">
        <v>34</v>
      </c>
      <c r="C13" s="84">
        <f>H84+(H113*H85)</f>
        <v>4606733.653443334</v>
      </c>
      <c r="D13" s="85">
        <f>C13/$C$7</f>
        <v>4606733.653443334</v>
      </c>
      <c r="E13" s="83">
        <v>2010</v>
      </c>
      <c r="F13" s="86">
        <f>C13*(1+Database!H$3)^(E13-2005)</f>
        <v>5604795.870045589</v>
      </c>
      <c r="G13" s="150">
        <f>F13*(1+Database!C$3)</f>
        <v>5604795.870045589</v>
      </c>
      <c r="H13" s="151"/>
      <c r="I13" s="110" t="s">
        <v>36</v>
      </c>
    </row>
    <row r="14" spans="2:9" ht="13.5" thickBot="1">
      <c r="B14" s="14" t="s">
        <v>35</v>
      </c>
      <c r="C14" s="89">
        <f>SUM(C10:C13)</f>
        <v>5159541.691856533</v>
      </c>
      <c r="D14" s="90">
        <f>C14/$C$7</f>
        <v>5159541.691856533</v>
      </c>
      <c r="E14" s="91" t="s">
        <v>35</v>
      </c>
      <c r="F14" s="89">
        <f>SUM(F10:F13)</f>
        <v>6187535.146890634</v>
      </c>
      <c r="G14" s="152">
        <f>F14*(1+Database!C$3)</f>
        <v>6187535.146890634</v>
      </c>
      <c r="H14" s="153"/>
      <c r="I14" s="110" t="s">
        <v>36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0.5</v>
      </c>
      <c r="E17" s="37">
        <v>2</v>
      </c>
      <c r="F17" s="8">
        <f>D17*E17</f>
        <v>1</v>
      </c>
      <c r="G17" s="8"/>
      <c r="H17" s="19">
        <f>C17*F17</f>
        <v>338430.4</v>
      </c>
      <c r="I17" s="40"/>
    </row>
    <row r="18" spans="2:9" ht="12.75">
      <c r="B18" s="18" t="s">
        <v>230</v>
      </c>
      <c r="C18" s="6">
        <f>Database!C6</f>
        <v>338430.4</v>
      </c>
      <c r="D18" s="37">
        <v>1</v>
      </c>
      <c r="E18" s="37">
        <v>2</v>
      </c>
      <c r="F18" s="8">
        <f>D18*E18</f>
        <v>2</v>
      </c>
      <c r="G18" s="8"/>
      <c r="H18" s="19">
        <f>C18*F18</f>
        <v>676860.8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</v>
      </c>
      <c r="E21" s="7">
        <v>4</v>
      </c>
      <c r="F21" s="8">
        <f>D21*E21</f>
        <v>0</v>
      </c>
      <c r="G21" s="8"/>
      <c r="H21" s="19">
        <f>C21*F21</f>
        <v>0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0.15222282266652123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0</v>
      </c>
      <c r="E24" s="37">
        <v>1</v>
      </c>
      <c r="F24" s="8"/>
      <c r="G24" s="8"/>
      <c r="H24" s="19">
        <f aca="true" t="shared" si="0" ref="H24:H39"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1</v>
      </c>
      <c r="F25" s="8"/>
      <c r="G25" s="8"/>
      <c r="H25" s="19">
        <f t="shared" si="0"/>
        <v>180000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0.5</v>
      </c>
      <c r="E26" s="37">
        <v>1</v>
      </c>
      <c r="F26" s="8"/>
      <c r="G26" s="8"/>
      <c r="H26" s="19">
        <f t="shared" si="0"/>
        <v>42500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0.5</v>
      </c>
      <c r="E27" s="37">
        <v>1</v>
      </c>
      <c r="F27" s="8"/>
      <c r="G27" s="8"/>
      <c r="H27" s="19">
        <f t="shared" si="0"/>
        <v>82500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0.5</v>
      </c>
      <c r="E28" s="37">
        <v>1</v>
      </c>
      <c r="F28" s="8"/>
      <c r="G28" s="8"/>
      <c r="H28" s="19">
        <f t="shared" si="0"/>
        <v>375000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0.5</v>
      </c>
      <c r="E29" s="37">
        <v>1</v>
      </c>
      <c r="F29" s="8"/>
      <c r="G29" s="8"/>
      <c r="H29" s="19">
        <f t="shared" si="0"/>
        <v>298000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0.5</v>
      </c>
      <c r="E30" s="37">
        <v>1</v>
      </c>
      <c r="F30" s="8"/>
      <c r="G30" s="8"/>
      <c r="H30" s="19">
        <f t="shared" si="0"/>
        <v>105600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</v>
      </c>
      <c r="E31" s="37">
        <v>1</v>
      </c>
      <c r="F31" s="8"/>
      <c r="G31" s="8"/>
      <c r="H31" s="19">
        <f t="shared" si="0"/>
        <v>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0.5</v>
      </c>
      <c r="E32" s="37">
        <v>2</v>
      </c>
      <c r="F32" s="8"/>
      <c r="G32" s="8"/>
      <c r="H32" s="19">
        <f t="shared" si="0"/>
        <v>38000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0.5</v>
      </c>
      <c r="E33" s="37">
        <v>1</v>
      </c>
      <c r="F33" s="8" t="s">
        <v>36</v>
      </c>
      <c r="G33" s="8"/>
      <c r="H33" s="19">
        <f t="shared" si="0"/>
        <v>58181.81818181818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0.5</v>
      </c>
      <c r="E34" s="37">
        <v>1</v>
      </c>
      <c r="F34" s="8"/>
      <c r="G34" s="8"/>
      <c r="H34" s="19">
        <f t="shared" si="0"/>
        <v>19000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</v>
      </c>
      <c r="E35" s="37">
        <v>1</v>
      </c>
      <c r="F35" s="8"/>
      <c r="G35" s="8"/>
      <c r="H35" s="19">
        <f t="shared" si="0"/>
        <v>0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1</v>
      </c>
      <c r="E36" s="37">
        <v>1</v>
      </c>
      <c r="F36" s="8"/>
      <c r="G36" s="8"/>
      <c r="H36" s="19">
        <f t="shared" si="0"/>
        <v>30000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0.5</v>
      </c>
      <c r="E37" s="37">
        <v>1</v>
      </c>
      <c r="F37" s="8"/>
      <c r="G37" s="8"/>
      <c r="H37" s="19">
        <f t="shared" si="0"/>
        <v>93866.66666666667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2337939.684948485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162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15</v>
      </c>
      <c r="F67" s="8"/>
      <c r="G67" s="8"/>
      <c r="H67" s="19">
        <f aca="true" t="shared" si="2" ref="H67:H72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20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450</v>
      </c>
      <c r="E69" s="7">
        <v>40</v>
      </c>
      <c r="F69" s="8"/>
      <c r="G69" s="8"/>
      <c r="H69" s="19">
        <f t="shared" si="2"/>
        <v>1530000</v>
      </c>
      <c r="I69" s="40" t="s">
        <v>36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36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36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6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2</v>
      </c>
      <c r="E81" s="8"/>
      <c r="F81" s="8"/>
      <c r="G81" s="8"/>
      <c r="H81" s="19">
        <f>C81*D81</f>
        <v>320000</v>
      </c>
      <c r="I81" s="40" t="s">
        <v>36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1850000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4187939.684948485</v>
      </c>
      <c r="I84" s="68" t="s">
        <v>36</v>
      </c>
      <c r="J84" t="s">
        <v>36</v>
      </c>
    </row>
    <row r="85" spans="8:9" ht="12.75">
      <c r="H85" s="52">
        <f>H84/$H$114</f>
        <v>0.8928571428571429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0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/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0.75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83758.7936989697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83758.7936989697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418793.9684948485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469049.2447142303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4690492.447142303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5159541.691856533</v>
      </c>
      <c r="I115" s="68" t="s">
        <v>36</v>
      </c>
      <c r="J115" t="s">
        <v>36</v>
      </c>
    </row>
  </sheetData>
  <mergeCells count="11">
    <mergeCell ref="C6:H6"/>
    <mergeCell ref="C2:H2"/>
    <mergeCell ref="C3:E3"/>
    <mergeCell ref="C4:E4"/>
    <mergeCell ref="C5:E5"/>
    <mergeCell ref="G13:H13"/>
    <mergeCell ref="G14:H14"/>
    <mergeCell ref="G9:H9"/>
    <mergeCell ref="G10:H10"/>
    <mergeCell ref="G11:H11"/>
    <mergeCell ref="G12:H12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233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8" ht="12.75">
      <c r="B5" s="4" t="s">
        <v>4</v>
      </c>
      <c r="C5" s="148">
        <v>1</v>
      </c>
      <c r="D5" s="149"/>
      <c r="E5" s="149"/>
      <c r="G5" s="99" t="s">
        <v>36</v>
      </c>
      <c r="H5" s="109" t="s">
        <v>36</v>
      </c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36</v>
      </c>
      <c r="G7" s="99"/>
      <c r="H7" s="108">
        <f>ROUND(G14,-5)</f>
        <v>12000000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36</v>
      </c>
    </row>
    <row r="10" spans="2:9" ht="12.75">
      <c r="B10" s="13" t="s">
        <v>26</v>
      </c>
      <c r="C10" s="84">
        <f>H110+(H113*H111)</f>
        <v>889740.8417887778</v>
      </c>
      <c r="D10" s="85">
        <f>C10/$C$7</f>
        <v>889740.8417887778</v>
      </c>
      <c r="E10" s="83">
        <v>2006</v>
      </c>
      <c r="F10" s="86">
        <f>C10*(1+Database!H$3)^(E10-2005)</f>
        <v>925330.475460329</v>
      </c>
      <c r="G10" s="150">
        <f>F10*(1+Database!C$3)</f>
        <v>925330.475460329</v>
      </c>
      <c r="H10" s="151"/>
      <c r="I10" s="110" t="s">
        <v>36</v>
      </c>
    </row>
    <row r="11" spans="2:9" ht="12.75">
      <c r="B11" s="13" t="s">
        <v>82</v>
      </c>
      <c r="C11" s="84">
        <f>H107+(H108*H113)</f>
        <v>177948.16835775555</v>
      </c>
      <c r="D11" s="85">
        <f>C11/$C$7</f>
        <v>177948.16835775555</v>
      </c>
      <c r="E11" s="83">
        <v>2008</v>
      </c>
      <c r="F11" s="86">
        <f>C11*(1+Database!H$3)^(E11-2005)</f>
        <v>200167.48845157836</v>
      </c>
      <c r="G11" s="150">
        <f>F11*(1+Database!C$3)</f>
        <v>200167.48845157836</v>
      </c>
      <c r="H11" s="151"/>
      <c r="I11" s="110" t="s">
        <v>36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10" t="s">
        <v>36</v>
      </c>
    </row>
    <row r="13" spans="2:9" ht="12.75">
      <c r="B13" s="13" t="s">
        <v>34</v>
      </c>
      <c r="C13" s="84">
        <f>H84+(H113*H85)</f>
        <v>8897408.417887777</v>
      </c>
      <c r="D13" s="85">
        <f>C13/$C$7</f>
        <v>8897408.417887777</v>
      </c>
      <c r="E13" s="83">
        <v>2010</v>
      </c>
      <c r="F13" s="86">
        <f>C13*(1+Database!H$3)^(E13-2005)</f>
        <v>10825057.775461359</v>
      </c>
      <c r="G13" s="150">
        <f>F13*(1+Database!C$3)</f>
        <v>10825057.775461359</v>
      </c>
      <c r="H13" s="151"/>
      <c r="I13" s="110" t="s">
        <v>36</v>
      </c>
    </row>
    <row r="14" spans="2:9" ht="13.5" thickBot="1">
      <c r="B14" s="14" t="s">
        <v>35</v>
      </c>
      <c r="C14" s="89">
        <f>SUM(C10:C13)</f>
        <v>9965097.428034311</v>
      </c>
      <c r="D14" s="90">
        <f>C14/$C$7</f>
        <v>9965097.428034311</v>
      </c>
      <c r="E14" s="91" t="s">
        <v>35</v>
      </c>
      <c r="F14" s="89">
        <f>SUM(F10:F13)</f>
        <v>11950555.739373267</v>
      </c>
      <c r="G14" s="152">
        <f>F14*(1+Database!C$3)</f>
        <v>11950555.739373267</v>
      </c>
      <c r="H14" s="153"/>
      <c r="I14" s="110" t="s">
        <v>36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0.5</v>
      </c>
      <c r="E17" s="37">
        <v>4</v>
      </c>
      <c r="F17" s="8">
        <f>D17*E17</f>
        <v>2</v>
      </c>
      <c r="G17" s="8"/>
      <c r="H17" s="19">
        <f>C17*F17</f>
        <v>676860.8</v>
      </c>
      <c r="I17" s="40"/>
    </row>
    <row r="18" spans="2:9" ht="12.75">
      <c r="B18" s="18" t="s">
        <v>230</v>
      </c>
      <c r="C18" s="6">
        <f>Database!C6</f>
        <v>338430.4</v>
      </c>
      <c r="D18" s="37">
        <v>2</v>
      </c>
      <c r="E18" s="37">
        <v>2</v>
      </c>
      <c r="F18" s="8">
        <f>D18*E18</f>
        <v>4</v>
      </c>
      <c r="G18" s="8"/>
      <c r="H18" s="19">
        <f>C18*F18</f>
        <v>1353721.6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</v>
      </c>
      <c r="E21" s="7">
        <v>4</v>
      </c>
      <c r="F21" s="8">
        <f>D21*E21</f>
        <v>0</v>
      </c>
      <c r="G21" s="8"/>
      <c r="H21" s="19">
        <f>C21*F21</f>
        <v>0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0.10199599224595765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0</v>
      </c>
      <c r="E24" s="37">
        <v>1</v>
      </c>
      <c r="F24" s="8"/>
      <c r="G24" s="8"/>
      <c r="H24" s="19">
        <f aca="true" t="shared" si="0" ref="H24:H39"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1</v>
      </c>
      <c r="F25" s="8"/>
      <c r="G25" s="8"/>
      <c r="H25" s="19">
        <f t="shared" si="0"/>
        <v>180000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0.5</v>
      </c>
      <c r="E26" s="37">
        <v>1</v>
      </c>
      <c r="F26" s="8"/>
      <c r="G26" s="8"/>
      <c r="H26" s="19">
        <f t="shared" si="0"/>
        <v>42500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0.5</v>
      </c>
      <c r="E27" s="37">
        <v>1</v>
      </c>
      <c r="F27" s="8"/>
      <c r="G27" s="8"/>
      <c r="H27" s="19">
        <f t="shared" si="0"/>
        <v>82500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0.5</v>
      </c>
      <c r="E28" s="37">
        <v>1.5</v>
      </c>
      <c r="F28" s="8"/>
      <c r="G28" s="8"/>
      <c r="H28" s="19">
        <f t="shared" si="0"/>
        <v>562500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0.5</v>
      </c>
      <c r="E29" s="37">
        <v>1</v>
      </c>
      <c r="F29" s="8"/>
      <c r="G29" s="8"/>
      <c r="H29" s="19">
        <f t="shared" si="0"/>
        <v>298000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0.5</v>
      </c>
      <c r="E30" s="37">
        <v>1</v>
      </c>
      <c r="F30" s="8"/>
      <c r="G30" s="8"/>
      <c r="H30" s="19">
        <f t="shared" si="0"/>
        <v>105600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</v>
      </c>
      <c r="E31" s="37">
        <v>1</v>
      </c>
      <c r="F31" s="8"/>
      <c r="G31" s="8"/>
      <c r="H31" s="19">
        <f t="shared" si="0"/>
        <v>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0.5</v>
      </c>
      <c r="E32" s="37">
        <v>2</v>
      </c>
      <c r="F32" s="8"/>
      <c r="G32" s="8"/>
      <c r="H32" s="19">
        <f t="shared" si="0"/>
        <v>38000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0.5</v>
      </c>
      <c r="E33" s="37">
        <v>1</v>
      </c>
      <c r="F33" s="8" t="s">
        <v>36</v>
      </c>
      <c r="G33" s="8"/>
      <c r="H33" s="19">
        <f t="shared" si="0"/>
        <v>58181.81818181818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0.5</v>
      </c>
      <c r="E34" s="37">
        <v>1</v>
      </c>
      <c r="F34" s="8"/>
      <c r="G34" s="8"/>
      <c r="H34" s="19">
        <f t="shared" si="0"/>
        <v>19000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0.5</v>
      </c>
      <c r="E35" s="37">
        <v>1</v>
      </c>
      <c r="F35" s="8"/>
      <c r="G35" s="8"/>
      <c r="H35" s="19">
        <f t="shared" si="0"/>
        <v>127822.22222222222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1</v>
      </c>
      <c r="E36" s="37">
        <v>1</v>
      </c>
      <c r="F36" s="8"/>
      <c r="G36" s="8"/>
      <c r="H36" s="19">
        <f t="shared" si="0"/>
        <v>30000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0.5</v>
      </c>
      <c r="E37" s="37">
        <v>1</v>
      </c>
      <c r="F37" s="8"/>
      <c r="G37" s="8"/>
      <c r="H37" s="19">
        <f t="shared" si="0"/>
        <v>93866.66666666667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3668553.107170707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2000</v>
      </c>
      <c r="E65" s="8">
        <v>5</v>
      </c>
      <c r="F65" s="8"/>
      <c r="G65" s="8"/>
      <c r="H65" s="19">
        <f>C65*D65</f>
        <v>240000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3000</v>
      </c>
      <c r="E66" s="8">
        <v>12</v>
      </c>
      <c r="F66" s="7">
        <v>12</v>
      </c>
      <c r="G66" s="8"/>
      <c r="H66" s="19">
        <f>C66*D66*F66</f>
        <v>2160000</v>
      </c>
      <c r="I66" s="40" t="s">
        <v>36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15</v>
      </c>
      <c r="F67" s="8"/>
      <c r="G67" s="8"/>
      <c r="H67" s="19">
        <f aca="true" t="shared" si="2" ref="H67:H72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20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250</v>
      </c>
      <c r="E69" s="7">
        <v>80</v>
      </c>
      <c r="F69" s="8"/>
      <c r="G69" s="8"/>
      <c r="H69" s="19">
        <f t="shared" si="2"/>
        <v>1700000</v>
      </c>
      <c r="I69" s="40" t="s">
        <v>36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36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36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6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2</v>
      </c>
      <c r="E81" s="8"/>
      <c r="F81" s="8"/>
      <c r="G81" s="8"/>
      <c r="H81" s="19">
        <f>C81*D81</f>
        <v>320000</v>
      </c>
      <c r="I81" s="40" t="s">
        <v>36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4420000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8088553.107170707</v>
      </c>
      <c r="I84" s="68" t="s">
        <v>36</v>
      </c>
      <c r="J84" t="s">
        <v>36</v>
      </c>
    </row>
    <row r="85" spans="8:9" ht="12.75">
      <c r="H85" s="52">
        <f>H84/$H$114</f>
        <v>0.8928571428571428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0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/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0.75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161771.06214341414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161771.06214341414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0.017857142857142856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808855.3107170707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905917.9480031193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9059179.480031192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9965097.428034311</v>
      </c>
      <c r="I115" s="68" t="s">
        <v>36</v>
      </c>
      <c r="J115" t="s">
        <v>36</v>
      </c>
    </row>
  </sheetData>
  <mergeCells count="11">
    <mergeCell ref="C6:H6"/>
    <mergeCell ref="C2:H2"/>
    <mergeCell ref="C3:E3"/>
    <mergeCell ref="C4:E4"/>
    <mergeCell ref="C5:E5"/>
    <mergeCell ref="G13:H13"/>
    <mergeCell ref="G14:H14"/>
    <mergeCell ref="G9:H9"/>
    <mergeCell ref="G10:H10"/>
    <mergeCell ref="G11:H11"/>
    <mergeCell ref="G12:H12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232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8" ht="12.75">
      <c r="B5" s="4" t="s">
        <v>4</v>
      </c>
      <c r="C5" s="148">
        <v>1</v>
      </c>
      <c r="D5" s="149"/>
      <c r="E5" s="149"/>
      <c r="G5" s="99" t="s">
        <v>36</v>
      </c>
      <c r="H5" s="109" t="s">
        <v>36</v>
      </c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36</v>
      </c>
      <c r="G7" s="99"/>
      <c r="H7" s="108">
        <f>ROUND(G14,-5)</f>
        <v>20500000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36</v>
      </c>
    </row>
    <row r="10" spans="2:9" ht="12.75">
      <c r="B10" s="13" t="s">
        <v>26</v>
      </c>
      <c r="C10" s="84">
        <f>H110+(H113*H111)</f>
        <v>1529940.8417887778</v>
      </c>
      <c r="D10" s="85">
        <f>C10/$C$7</f>
        <v>1529940.8417887778</v>
      </c>
      <c r="E10" s="83">
        <v>2006</v>
      </c>
      <c r="F10" s="86">
        <f>C10*(1+Database!H$3)^(E10-2005)</f>
        <v>1591138.475460329</v>
      </c>
      <c r="G10" s="150">
        <f>F10*(1+Database!C$3)</f>
        <v>1591138.475460329</v>
      </c>
      <c r="H10" s="151"/>
      <c r="I10" s="110" t="s">
        <v>36</v>
      </c>
    </row>
    <row r="11" spans="2:9" ht="12.75">
      <c r="B11" s="13" t="s">
        <v>82</v>
      </c>
      <c r="C11" s="84">
        <f>H107+(H108*H113)</f>
        <v>305988.1683577556</v>
      </c>
      <c r="D11" s="85">
        <f>C11/$C$7</f>
        <v>305988.1683577556</v>
      </c>
      <c r="E11" s="83">
        <v>2008</v>
      </c>
      <c r="F11" s="86">
        <f>C11*(1+Database!H$3)^(E11-2005)</f>
        <v>344195.0750115784</v>
      </c>
      <c r="G11" s="150">
        <f>F11*(1+Database!C$3)</f>
        <v>344195.0750115784</v>
      </c>
      <c r="H11" s="151"/>
      <c r="I11" s="110" t="s">
        <v>36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10" t="s">
        <v>36</v>
      </c>
    </row>
    <row r="13" spans="2:9" ht="12.75">
      <c r="B13" s="13" t="s">
        <v>34</v>
      </c>
      <c r="C13" s="84">
        <f>H84+(H113*H85)</f>
        <v>15299408.417887777</v>
      </c>
      <c r="D13" s="85">
        <f>C13/$C$7</f>
        <v>15299408.417887777</v>
      </c>
      <c r="E13" s="83">
        <v>2010</v>
      </c>
      <c r="F13" s="86">
        <f>C13*(1+Database!H$3)^(E13-2005)</f>
        <v>18614069.65662616</v>
      </c>
      <c r="G13" s="150">
        <f>F13*(1+Database!C$3)</f>
        <v>18614069.65662616</v>
      </c>
      <c r="H13" s="151"/>
      <c r="I13" s="110" t="s">
        <v>36</v>
      </c>
    </row>
    <row r="14" spans="2:9" ht="13.5" thickBot="1">
      <c r="B14" s="14" t="s">
        <v>35</v>
      </c>
      <c r="C14" s="89">
        <f>SUM(C10:C13)</f>
        <v>17135337.42803431</v>
      </c>
      <c r="D14" s="90">
        <f>C14/$C$7</f>
        <v>17135337.42803431</v>
      </c>
      <c r="E14" s="91" t="s">
        <v>35</v>
      </c>
      <c r="F14" s="89">
        <f>SUM(F10:F13)</f>
        <v>20549403.207098067</v>
      </c>
      <c r="G14" s="152">
        <f>F14*(1+Database!C$3)</f>
        <v>20549403.207098067</v>
      </c>
      <c r="H14" s="153"/>
      <c r="I14" s="110" t="s">
        <v>36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0.5</v>
      </c>
      <c r="E17" s="37">
        <v>4</v>
      </c>
      <c r="F17" s="8">
        <f>D17*E17</f>
        <v>2</v>
      </c>
      <c r="G17" s="8"/>
      <c r="H17" s="19">
        <f>C17*F17</f>
        <v>676860.8</v>
      </c>
      <c r="I17" s="40"/>
    </row>
    <row r="18" spans="2:9" ht="12.75">
      <c r="B18" s="18" t="s">
        <v>230</v>
      </c>
      <c r="C18" s="6">
        <f>Database!C6</f>
        <v>338430.4</v>
      </c>
      <c r="D18" s="37">
        <v>2</v>
      </c>
      <c r="E18" s="37">
        <v>2</v>
      </c>
      <c r="F18" s="8">
        <f>D18*E18</f>
        <v>4</v>
      </c>
      <c r="G18" s="8"/>
      <c r="H18" s="19">
        <f>C18*F18</f>
        <v>1353721.6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</v>
      </c>
      <c r="E21" s="7">
        <v>4</v>
      </c>
      <c r="F21" s="8">
        <f>D21*E21</f>
        <v>0</v>
      </c>
      <c r="G21" s="8"/>
      <c r="H21" s="19">
        <f>C21*F21</f>
        <v>0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0.05931601897358124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0</v>
      </c>
      <c r="E24" s="37">
        <v>1</v>
      </c>
      <c r="F24" s="8"/>
      <c r="G24" s="8"/>
      <c r="H24" s="19">
        <f aca="true" t="shared" si="0" ref="H24:H39"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1</v>
      </c>
      <c r="F25" s="8"/>
      <c r="G25" s="8"/>
      <c r="H25" s="19">
        <f t="shared" si="0"/>
        <v>180000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0.5</v>
      </c>
      <c r="E26" s="37">
        <v>1</v>
      </c>
      <c r="F26" s="8"/>
      <c r="G26" s="8"/>
      <c r="H26" s="19">
        <f t="shared" si="0"/>
        <v>42500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0.5</v>
      </c>
      <c r="E27" s="37">
        <v>1</v>
      </c>
      <c r="F27" s="8"/>
      <c r="G27" s="8"/>
      <c r="H27" s="19">
        <f t="shared" si="0"/>
        <v>82500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0.5</v>
      </c>
      <c r="E28" s="37">
        <v>1.5</v>
      </c>
      <c r="F28" s="8"/>
      <c r="G28" s="8"/>
      <c r="H28" s="19">
        <f t="shared" si="0"/>
        <v>562500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0.5</v>
      </c>
      <c r="E29" s="37">
        <v>1</v>
      </c>
      <c r="F29" s="8"/>
      <c r="G29" s="8"/>
      <c r="H29" s="19">
        <f t="shared" si="0"/>
        <v>298000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0.5</v>
      </c>
      <c r="E30" s="37">
        <v>1</v>
      </c>
      <c r="F30" s="8"/>
      <c r="G30" s="8"/>
      <c r="H30" s="19">
        <f t="shared" si="0"/>
        <v>105600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</v>
      </c>
      <c r="E31" s="37">
        <v>1</v>
      </c>
      <c r="F31" s="8"/>
      <c r="G31" s="8"/>
      <c r="H31" s="19">
        <f t="shared" si="0"/>
        <v>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0.5</v>
      </c>
      <c r="E32" s="37">
        <v>2</v>
      </c>
      <c r="F32" s="8"/>
      <c r="G32" s="8"/>
      <c r="H32" s="19">
        <f t="shared" si="0"/>
        <v>38000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0.5</v>
      </c>
      <c r="E33" s="37">
        <v>1</v>
      </c>
      <c r="F33" s="8" t="s">
        <v>36</v>
      </c>
      <c r="G33" s="8"/>
      <c r="H33" s="19">
        <f t="shared" si="0"/>
        <v>58181.81818181818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0.5</v>
      </c>
      <c r="E34" s="37">
        <v>1</v>
      </c>
      <c r="F34" s="8"/>
      <c r="G34" s="8"/>
      <c r="H34" s="19">
        <f t="shared" si="0"/>
        <v>19000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0.5</v>
      </c>
      <c r="E35" s="37">
        <v>1</v>
      </c>
      <c r="F35" s="8"/>
      <c r="G35" s="8"/>
      <c r="H35" s="19">
        <f t="shared" si="0"/>
        <v>127822.22222222222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1</v>
      </c>
      <c r="E36" s="37">
        <v>1</v>
      </c>
      <c r="F36" s="8"/>
      <c r="G36" s="8"/>
      <c r="H36" s="19">
        <f t="shared" si="0"/>
        <v>30000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0.5</v>
      </c>
      <c r="E37" s="37">
        <v>1</v>
      </c>
      <c r="F37" s="8"/>
      <c r="G37" s="8"/>
      <c r="H37" s="19">
        <f t="shared" si="0"/>
        <v>93866.66666666667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3668553.107170707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2000</v>
      </c>
      <c r="E65" s="8">
        <v>5</v>
      </c>
      <c r="F65" s="8"/>
      <c r="G65" s="8"/>
      <c r="H65" s="19">
        <f>C65*D65</f>
        <v>240000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4000</v>
      </c>
      <c r="E66" s="8">
        <v>12</v>
      </c>
      <c r="F66" s="7">
        <v>12</v>
      </c>
      <c r="G66" s="8"/>
      <c r="H66" s="19">
        <f>C66*D66*F66</f>
        <v>2880000</v>
      </c>
      <c r="I66" s="40" t="s">
        <v>36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15</v>
      </c>
      <c r="F67" s="8"/>
      <c r="G67" s="8"/>
      <c r="H67" s="19">
        <f aca="true" t="shared" si="2" ref="H67:H72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20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200</v>
      </c>
      <c r="E69" s="7">
        <v>400</v>
      </c>
      <c r="F69" s="8"/>
      <c r="G69" s="8"/>
      <c r="H69" s="19">
        <f t="shared" si="2"/>
        <v>6800000</v>
      </c>
      <c r="I69" s="40" t="s">
        <v>36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36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36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6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2</v>
      </c>
      <c r="E81" s="8"/>
      <c r="F81" s="8"/>
      <c r="G81" s="8"/>
      <c r="H81" s="19">
        <f>C81*D81</f>
        <v>320000</v>
      </c>
      <c r="I81" s="40" t="s">
        <v>36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10240000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13908553.107170707</v>
      </c>
      <c r="I84" s="68" t="s">
        <v>36</v>
      </c>
      <c r="J84" t="s">
        <v>36</v>
      </c>
    </row>
    <row r="85" spans="8:9" ht="12.75">
      <c r="H85" s="52">
        <f>H84/$H$114</f>
        <v>0.8928571428571429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0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/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0.75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278171.06214341416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278171.06214341416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1390855.3107170707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1557757.948003119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15577579.48003119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17135337.42803431</v>
      </c>
      <c r="I115" s="68" t="s">
        <v>36</v>
      </c>
      <c r="J115" t="s">
        <v>36</v>
      </c>
    </row>
  </sheetData>
  <mergeCells count="11">
    <mergeCell ref="G13:H13"/>
    <mergeCell ref="G14:H14"/>
    <mergeCell ref="G9:H9"/>
    <mergeCell ref="G10:H10"/>
    <mergeCell ref="G11:H11"/>
    <mergeCell ref="G12:H12"/>
    <mergeCell ref="C6:H6"/>
    <mergeCell ref="C2:H2"/>
    <mergeCell ref="C3:E3"/>
    <mergeCell ref="C4:E4"/>
    <mergeCell ref="C5:E5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231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8" ht="12.75">
      <c r="B5" s="4" t="s">
        <v>4</v>
      </c>
      <c r="C5" s="148">
        <v>1</v>
      </c>
      <c r="D5" s="149"/>
      <c r="E5" s="149"/>
      <c r="G5" s="99" t="s">
        <v>36</v>
      </c>
      <c r="H5" s="109"/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36</v>
      </c>
      <c r="G7" s="99"/>
      <c r="H7" s="108">
        <f>ROUND(G14,-5)</f>
        <v>7400000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36</v>
      </c>
    </row>
    <row r="10" spans="2:9" ht="12.75">
      <c r="B10" s="13" t="s">
        <v>26</v>
      </c>
      <c r="C10" s="84">
        <f>H110+(H113*H111)</f>
        <v>549541.4657887778</v>
      </c>
      <c r="D10" s="85">
        <f>C10/$C$7</f>
        <v>549541.4657887778</v>
      </c>
      <c r="E10" s="83">
        <v>2006</v>
      </c>
      <c r="F10" s="86">
        <f>C10*(1+Database!H$3)^(E10-2005)</f>
        <v>571523.1244203289</v>
      </c>
      <c r="G10" s="150">
        <f>F10*(1+Database!C$3)</f>
        <v>571523.1244203289</v>
      </c>
      <c r="H10" s="151"/>
      <c r="I10" s="110" t="s">
        <v>36</v>
      </c>
    </row>
    <row r="11" spans="2:9" ht="12.75">
      <c r="B11" s="13" t="s">
        <v>82</v>
      </c>
      <c r="C11" s="84">
        <f>H107+(H108*H113)</f>
        <v>109908.29315775554</v>
      </c>
      <c r="D11" s="85">
        <f>C11/$C$7</f>
        <v>109908.29315775554</v>
      </c>
      <c r="E11" s="83">
        <v>2008</v>
      </c>
      <c r="F11" s="86">
        <f>C11*(1+Database!H$3)^(E11-2005)</f>
        <v>123631.88227460554</v>
      </c>
      <c r="G11" s="150">
        <f>F11*(1+Database!C$3)</f>
        <v>123631.88227460554</v>
      </c>
      <c r="H11" s="151"/>
      <c r="I11" s="110" t="s">
        <v>36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10" t="s">
        <v>36</v>
      </c>
    </row>
    <row r="13" spans="2:9" ht="12.75">
      <c r="B13" s="13" t="s">
        <v>34</v>
      </c>
      <c r="C13" s="84">
        <f>H84+(H113*H85)</f>
        <v>5495414.657887777</v>
      </c>
      <c r="D13" s="85">
        <f>C13/$C$7</f>
        <v>5495414.657887777</v>
      </c>
      <c r="E13" s="83">
        <v>2010</v>
      </c>
      <c r="F13" s="86">
        <f>C13*(1+Database!H$3)^(E13-2005)</f>
        <v>6686012.193410669</v>
      </c>
      <c r="G13" s="150">
        <f>F13*(1+Database!C$3)</f>
        <v>6686012.193410669</v>
      </c>
      <c r="H13" s="151"/>
      <c r="I13" s="110" t="s">
        <v>36</v>
      </c>
    </row>
    <row r="14" spans="2:9" ht="13.5" thickBot="1">
      <c r="B14" s="14" t="s">
        <v>35</v>
      </c>
      <c r="C14" s="89">
        <f>SUM(C10:C13)</f>
        <v>6154864.416834311</v>
      </c>
      <c r="D14" s="90">
        <f>C14/$C$7</f>
        <v>6154864.416834311</v>
      </c>
      <c r="E14" s="91" t="s">
        <v>35</v>
      </c>
      <c r="F14" s="89">
        <f>SUM(F10:F13)</f>
        <v>7381167.200105604</v>
      </c>
      <c r="G14" s="152">
        <f>F14*(1+Database!C$3)</f>
        <v>7381167.200105604</v>
      </c>
      <c r="H14" s="153"/>
      <c r="I14" s="110" t="s">
        <v>36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0.5</v>
      </c>
      <c r="E17" s="37">
        <v>4</v>
      </c>
      <c r="F17" s="8">
        <f>D17*E17</f>
        <v>2</v>
      </c>
      <c r="G17" s="8"/>
      <c r="H17" s="19">
        <f>C17*F17</f>
        <v>676860.8</v>
      </c>
      <c r="I17" s="40"/>
    </row>
    <row r="18" spans="2:9" ht="12.75">
      <c r="B18" s="18" t="s">
        <v>230</v>
      </c>
      <c r="C18" s="6">
        <f>Database!C6</f>
        <v>338430.4</v>
      </c>
      <c r="D18" s="37">
        <v>0</v>
      </c>
      <c r="E18" s="37">
        <v>2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</v>
      </c>
      <c r="E21" s="7">
        <v>4</v>
      </c>
      <c r="F21" s="8">
        <f>D21*E21</f>
        <v>0</v>
      </c>
      <c r="G21" s="8"/>
      <c r="H21" s="19">
        <f>C21*F21</f>
        <v>0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0.16513767504285246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0</v>
      </c>
      <c r="E24" s="37">
        <v>1</v>
      </c>
      <c r="F24" s="8"/>
      <c r="G24" s="8"/>
      <c r="H24" s="19">
        <f aca="true" t="shared" si="0" ref="H24:H39"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1</v>
      </c>
      <c r="F25" s="8"/>
      <c r="G25" s="8"/>
      <c r="H25" s="19">
        <f t="shared" si="0"/>
        <v>180000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0.5</v>
      </c>
      <c r="E26" s="37">
        <v>1</v>
      </c>
      <c r="F26" s="8"/>
      <c r="G26" s="8"/>
      <c r="H26" s="19">
        <f t="shared" si="0"/>
        <v>42500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0.5</v>
      </c>
      <c r="E27" s="37">
        <v>1</v>
      </c>
      <c r="F27" s="8"/>
      <c r="G27" s="8"/>
      <c r="H27" s="19">
        <f t="shared" si="0"/>
        <v>82500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0.5</v>
      </c>
      <c r="E28" s="37">
        <v>1.5</v>
      </c>
      <c r="F28" s="8"/>
      <c r="G28" s="8"/>
      <c r="H28" s="19">
        <f t="shared" si="0"/>
        <v>562500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0.5</v>
      </c>
      <c r="E29" s="37">
        <v>1</v>
      </c>
      <c r="F29" s="8"/>
      <c r="G29" s="8"/>
      <c r="H29" s="19">
        <f t="shared" si="0"/>
        <v>298000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0.5</v>
      </c>
      <c r="E30" s="37">
        <v>1</v>
      </c>
      <c r="F30" s="8"/>
      <c r="G30" s="8"/>
      <c r="H30" s="19">
        <f t="shared" si="0"/>
        <v>105600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</v>
      </c>
      <c r="E31" s="37">
        <v>1</v>
      </c>
      <c r="F31" s="8"/>
      <c r="G31" s="8"/>
      <c r="H31" s="19">
        <f t="shared" si="0"/>
        <v>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0.5</v>
      </c>
      <c r="E32" s="37">
        <v>1</v>
      </c>
      <c r="F32" s="8"/>
      <c r="G32" s="8"/>
      <c r="H32" s="19">
        <f t="shared" si="0"/>
        <v>19000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0.5</v>
      </c>
      <c r="E33" s="37">
        <v>1</v>
      </c>
      <c r="F33" s="8" t="s">
        <v>36</v>
      </c>
      <c r="G33" s="8"/>
      <c r="H33" s="19">
        <f t="shared" si="0"/>
        <v>58181.81818181818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0.5</v>
      </c>
      <c r="E34" s="37">
        <v>1</v>
      </c>
      <c r="F34" s="8"/>
      <c r="G34" s="8"/>
      <c r="H34" s="19">
        <f t="shared" si="0"/>
        <v>19000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0.5</v>
      </c>
      <c r="E35" s="37">
        <v>1</v>
      </c>
      <c r="F35" s="8"/>
      <c r="G35" s="8"/>
      <c r="H35" s="19">
        <f t="shared" si="0"/>
        <v>127822.22222222222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1</v>
      </c>
      <c r="E36" s="37">
        <v>1</v>
      </c>
      <c r="F36" s="8"/>
      <c r="G36" s="8"/>
      <c r="H36" s="19">
        <f t="shared" si="0"/>
        <v>30000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0.5</v>
      </c>
      <c r="E37" s="37">
        <v>1</v>
      </c>
      <c r="F37" s="8"/>
      <c r="G37" s="8"/>
      <c r="H37" s="19">
        <f t="shared" si="0"/>
        <v>93866.66666666667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2295831.507170707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162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15</v>
      </c>
      <c r="F67" s="8"/>
      <c r="G67" s="8"/>
      <c r="H67" s="19">
        <f aca="true" t="shared" si="2" ref="H67:H72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20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350</v>
      </c>
      <c r="E69" s="7">
        <v>80</v>
      </c>
      <c r="F69" s="8"/>
      <c r="G69" s="8"/>
      <c r="H69" s="19">
        <f t="shared" si="2"/>
        <v>2380000</v>
      </c>
      <c r="I69" s="40" t="s">
        <v>36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36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36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6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2</v>
      </c>
      <c r="E81" s="8"/>
      <c r="F81" s="8"/>
      <c r="G81" s="8"/>
      <c r="H81" s="19">
        <f>C81*D81</f>
        <v>320000</v>
      </c>
      <c r="I81" s="40" t="s">
        <v>36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2700000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4995831.507170707</v>
      </c>
      <c r="I84" s="68" t="s">
        <v>36</v>
      </c>
      <c r="J84" t="s">
        <v>36</v>
      </c>
    </row>
    <row r="85" spans="8:9" ht="12.75">
      <c r="H85" s="52">
        <f>H84/$H$114</f>
        <v>0.8928571428571429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0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/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0.75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99916.63014341414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99916.63014341414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0.017857142857142856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499583.15071707073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0.0892857142857143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559533.1288031192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5595331.288031192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6154864.416834311</v>
      </c>
      <c r="I115" s="68" t="s">
        <v>36</v>
      </c>
      <c r="J115" t="s">
        <v>36</v>
      </c>
    </row>
  </sheetData>
  <mergeCells count="11">
    <mergeCell ref="C6:H6"/>
    <mergeCell ref="C2:H2"/>
    <mergeCell ref="C3:E3"/>
    <mergeCell ref="C4:E4"/>
    <mergeCell ref="C5:E5"/>
    <mergeCell ref="G13:H13"/>
    <mergeCell ref="G14:H14"/>
    <mergeCell ref="G9:H9"/>
    <mergeCell ref="G10:H10"/>
    <mergeCell ref="G11:H11"/>
    <mergeCell ref="G12:H12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234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8" ht="12.75">
      <c r="B5" s="4" t="s">
        <v>4</v>
      </c>
      <c r="C5" s="148">
        <v>1</v>
      </c>
      <c r="D5" s="149"/>
      <c r="E5" s="149"/>
      <c r="G5" s="99" t="s">
        <v>36</v>
      </c>
      <c r="H5" s="109"/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36</v>
      </c>
      <c r="G7" s="99"/>
      <c r="H7" s="108">
        <f>ROUND(G14,-5)</f>
        <v>4800000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36</v>
      </c>
    </row>
    <row r="10" spans="2:9" ht="12.75">
      <c r="B10" s="13" t="s">
        <v>26</v>
      </c>
      <c r="C10" s="84">
        <f>H110+(H113*H111)</f>
        <v>353728.344011</v>
      </c>
      <c r="D10" s="85">
        <f>C10/$C$7</f>
        <v>353728.344011</v>
      </c>
      <c r="E10" s="83">
        <v>2006</v>
      </c>
      <c r="F10" s="86">
        <f>C10*(1+Database!H$3)^(E10-2005)</f>
        <v>367877.47777144</v>
      </c>
      <c r="G10" s="150">
        <f>F10*(1+Database!C$3)</f>
        <v>367877.47777144</v>
      </c>
      <c r="H10" s="151"/>
      <c r="I10" s="110" t="s">
        <v>36</v>
      </c>
    </row>
    <row r="11" spans="2:9" ht="12.75">
      <c r="B11" s="13" t="s">
        <v>82</v>
      </c>
      <c r="C11" s="84">
        <f>H107+(H108*H113)</f>
        <v>70745.6688022</v>
      </c>
      <c r="D11" s="85">
        <f>C11/$C$7</f>
        <v>70745.6688022</v>
      </c>
      <c r="E11" s="83">
        <v>2008</v>
      </c>
      <c r="F11" s="86">
        <f>C11*(1+Database!H$3)^(E11-2005)</f>
        <v>79579.25599151792</v>
      </c>
      <c r="G11" s="150">
        <f>F11*(1+Database!C$3)</f>
        <v>79579.25599151792</v>
      </c>
      <c r="H11" s="151"/>
      <c r="I11" s="110" t="s">
        <v>36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10" t="s">
        <v>36</v>
      </c>
    </row>
    <row r="13" spans="2:9" ht="12.75">
      <c r="B13" s="13" t="s">
        <v>34</v>
      </c>
      <c r="C13" s="84">
        <f>H84+(H113*H85)</f>
        <v>3537283.44011</v>
      </c>
      <c r="D13" s="85">
        <f>C13/$C$7</f>
        <v>3537283.44011</v>
      </c>
      <c r="E13" s="83">
        <v>2010</v>
      </c>
      <c r="F13" s="86">
        <f>C13*(1+Database!H$3)^(E13-2005)</f>
        <v>4303646.164021289</v>
      </c>
      <c r="G13" s="150">
        <f>F13*(1+Database!C$3)</f>
        <v>4303646.164021289</v>
      </c>
      <c r="H13" s="151"/>
      <c r="I13" s="110" t="s">
        <v>36</v>
      </c>
    </row>
    <row r="14" spans="2:9" ht="13.5" thickBot="1">
      <c r="B14" s="14" t="s">
        <v>35</v>
      </c>
      <c r="C14" s="89">
        <f>SUM(C10:C13)</f>
        <v>3961757.4529232</v>
      </c>
      <c r="D14" s="90">
        <f>C14/$C$7</f>
        <v>3961757.4529232</v>
      </c>
      <c r="E14" s="91" t="s">
        <v>35</v>
      </c>
      <c r="F14" s="89">
        <f>SUM(F10:F13)</f>
        <v>4751102.897784247</v>
      </c>
      <c r="G14" s="152">
        <f>F14*(1+Database!C$3)</f>
        <v>4751102.897784247</v>
      </c>
      <c r="H14" s="153"/>
      <c r="I14" s="110" t="s">
        <v>36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0.5</v>
      </c>
      <c r="E17" s="37">
        <v>2</v>
      </c>
      <c r="F17" s="8">
        <f>D17*E17</f>
        <v>1</v>
      </c>
      <c r="G17" s="8"/>
      <c r="H17" s="19">
        <f>C17*F17</f>
        <v>338430.4</v>
      </c>
      <c r="I17" s="40"/>
    </row>
    <row r="18" spans="2:9" ht="12.75">
      <c r="B18" s="18" t="s">
        <v>230</v>
      </c>
      <c r="C18" s="6">
        <f>Database!C6</f>
        <v>338430.4</v>
      </c>
      <c r="D18" s="37">
        <v>0</v>
      </c>
      <c r="E18" s="37">
        <v>2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</v>
      </c>
      <c r="E21" s="7">
        <v>4</v>
      </c>
      <c r="F21" s="8">
        <f>D21*E21</f>
        <v>0</v>
      </c>
      <c r="G21" s="8"/>
      <c r="H21" s="19">
        <f>C21*F21</f>
        <v>0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0.2565528082114277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0</v>
      </c>
      <c r="E24" s="37">
        <v>1</v>
      </c>
      <c r="F24" s="8"/>
      <c r="G24" s="8"/>
      <c r="H24" s="19">
        <f aca="true" t="shared" si="0" ref="H24:H39"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1</v>
      </c>
      <c r="F25" s="8"/>
      <c r="G25" s="8"/>
      <c r="H25" s="19">
        <f t="shared" si="0"/>
        <v>180000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0.5</v>
      </c>
      <c r="E26" s="37">
        <v>1</v>
      </c>
      <c r="F26" s="8"/>
      <c r="G26" s="8"/>
      <c r="H26" s="19">
        <f t="shared" si="0"/>
        <v>42500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0.5</v>
      </c>
      <c r="E27" s="37">
        <v>1</v>
      </c>
      <c r="F27" s="8"/>
      <c r="G27" s="8"/>
      <c r="H27" s="19">
        <f t="shared" si="0"/>
        <v>82500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0.5</v>
      </c>
      <c r="E28" s="37">
        <v>1.5</v>
      </c>
      <c r="F28" s="8"/>
      <c r="G28" s="8"/>
      <c r="H28" s="19">
        <f t="shared" si="0"/>
        <v>562500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0.5</v>
      </c>
      <c r="E29" s="37">
        <v>1</v>
      </c>
      <c r="F29" s="8"/>
      <c r="G29" s="8"/>
      <c r="H29" s="19">
        <f t="shared" si="0"/>
        <v>298000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0.5</v>
      </c>
      <c r="E30" s="37">
        <v>1</v>
      </c>
      <c r="F30" s="8"/>
      <c r="G30" s="8"/>
      <c r="H30" s="19">
        <f t="shared" si="0"/>
        <v>105600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</v>
      </c>
      <c r="E31" s="37">
        <v>1</v>
      </c>
      <c r="F31" s="8"/>
      <c r="G31" s="8"/>
      <c r="H31" s="19">
        <f t="shared" si="0"/>
        <v>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0.5</v>
      </c>
      <c r="E32" s="37">
        <v>1</v>
      </c>
      <c r="F32" s="8"/>
      <c r="G32" s="8"/>
      <c r="H32" s="19">
        <f t="shared" si="0"/>
        <v>19000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0.5</v>
      </c>
      <c r="E33" s="37">
        <v>1</v>
      </c>
      <c r="F33" s="8" t="s">
        <v>36</v>
      </c>
      <c r="G33" s="8"/>
      <c r="H33" s="19">
        <f t="shared" si="0"/>
        <v>58181.81818181818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0.5</v>
      </c>
      <c r="E34" s="37">
        <v>1</v>
      </c>
      <c r="F34" s="8"/>
      <c r="G34" s="8"/>
      <c r="H34" s="19">
        <f t="shared" si="0"/>
        <v>19000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</v>
      </c>
      <c r="E35" s="37">
        <v>1</v>
      </c>
      <c r="F35" s="8"/>
      <c r="G35" s="8"/>
      <c r="H35" s="19">
        <f t="shared" si="0"/>
        <v>0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0</v>
      </c>
      <c r="E36" s="37">
        <v>1</v>
      </c>
      <c r="F36" s="8"/>
      <c r="G36" s="8"/>
      <c r="H36" s="19">
        <f t="shared" si="0"/>
        <v>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</v>
      </c>
      <c r="E37" s="37">
        <v>1</v>
      </c>
      <c r="F37" s="8"/>
      <c r="G37" s="8"/>
      <c r="H37" s="19">
        <f t="shared" si="0"/>
        <v>0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1705712.218281818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162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15</v>
      </c>
      <c r="F67" s="8"/>
      <c r="G67" s="8"/>
      <c r="H67" s="19">
        <f aca="true" t="shared" si="2" ref="H67:H72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20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350</v>
      </c>
      <c r="E69" s="7">
        <v>40</v>
      </c>
      <c r="F69" s="8"/>
      <c r="G69" s="8"/>
      <c r="H69" s="19">
        <f t="shared" si="2"/>
        <v>1190000</v>
      </c>
      <c r="I69" s="40" t="s">
        <v>36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36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36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6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2</v>
      </c>
      <c r="E81" s="8"/>
      <c r="F81" s="8"/>
      <c r="G81" s="8"/>
      <c r="H81" s="19">
        <f>C81*D81</f>
        <v>320000</v>
      </c>
      <c r="I81" s="40" t="s">
        <v>36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1510000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3215712.218281818</v>
      </c>
      <c r="I84" s="68" t="s">
        <v>36</v>
      </c>
      <c r="J84" t="s">
        <v>36</v>
      </c>
    </row>
    <row r="85" spans="8:9" ht="12.75">
      <c r="H85" s="52">
        <f>H84/$H$114</f>
        <v>0.8928571428571429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0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/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0.75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64314.24436563636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64314.24436563636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0.017857142857142856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321571.2218281818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360159.76844756363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3601597.684475636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3961757.4529231996</v>
      </c>
      <c r="I115" s="68" t="s">
        <v>36</v>
      </c>
      <c r="J115" t="s">
        <v>36</v>
      </c>
    </row>
  </sheetData>
  <mergeCells count="11">
    <mergeCell ref="G13:H13"/>
    <mergeCell ref="G14:H14"/>
    <mergeCell ref="G9:H9"/>
    <mergeCell ref="G10:H10"/>
    <mergeCell ref="G11:H11"/>
    <mergeCell ref="G12:H12"/>
    <mergeCell ref="C6:H6"/>
    <mergeCell ref="C2:H2"/>
    <mergeCell ref="C3:E3"/>
    <mergeCell ref="C4:E4"/>
    <mergeCell ref="C5:E5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193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8" ht="12.75">
      <c r="B5" s="4" t="s">
        <v>4</v>
      </c>
      <c r="C5" s="148">
        <v>1</v>
      </c>
      <c r="D5" s="149"/>
      <c r="E5" s="149"/>
      <c r="G5" s="99" t="s">
        <v>36</v>
      </c>
      <c r="H5" s="109" t="s">
        <v>36</v>
      </c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36</v>
      </c>
      <c r="G7" s="99"/>
      <c r="H7" s="108">
        <f>ROUND(G14,-5)</f>
        <v>2400000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36</v>
      </c>
    </row>
    <row r="10" spans="2:9" ht="12.75">
      <c r="B10" s="13" t="s">
        <v>26</v>
      </c>
      <c r="C10" s="84">
        <f>H110+(H113*H111)</f>
        <v>177308.8794776667</v>
      </c>
      <c r="D10" s="85">
        <f>C10/$C$7</f>
        <v>177308.8794776667</v>
      </c>
      <c r="E10" s="83">
        <v>2006</v>
      </c>
      <c r="F10" s="86">
        <f>C10*(1+Database!H$3)^(E10-2005)</f>
        <v>184401.23465677336</v>
      </c>
      <c r="G10" s="150">
        <f>F10*(1+Database!C$3)</f>
        <v>184401.23465677336</v>
      </c>
      <c r="H10" s="151"/>
      <c r="I10" s="110" t="s">
        <v>36</v>
      </c>
    </row>
    <row r="11" spans="2:9" ht="12.75">
      <c r="B11" s="13" t="s">
        <v>82</v>
      </c>
      <c r="C11" s="84">
        <f>H107+(H108*H113)</f>
        <v>35461.775895533334</v>
      </c>
      <c r="D11" s="85">
        <f>C11/$C$7</f>
        <v>35461.775895533334</v>
      </c>
      <c r="E11" s="83">
        <v>2008</v>
      </c>
      <c r="F11" s="86">
        <f>C11*(1+Database!H$3)^(E11-2005)</f>
        <v>39889.67508095321</v>
      </c>
      <c r="G11" s="150">
        <f>F11*(1+Database!C$3)</f>
        <v>39889.67508095321</v>
      </c>
      <c r="H11" s="151"/>
      <c r="I11" s="110" t="s">
        <v>36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10" t="s">
        <v>36</v>
      </c>
    </row>
    <row r="13" spans="2:9" ht="12.75">
      <c r="B13" s="13" t="s">
        <v>34</v>
      </c>
      <c r="C13" s="84">
        <f>H84+(H113*H85)</f>
        <v>1773088.7947766664</v>
      </c>
      <c r="D13" s="85">
        <f>C13/$C$7</f>
        <v>1773088.7947766664</v>
      </c>
      <c r="E13" s="83">
        <v>2010</v>
      </c>
      <c r="F13" s="86">
        <f>C13*(1+Database!H$3)^(E13-2005)</f>
        <v>2157233.62837795</v>
      </c>
      <c r="G13" s="150">
        <f>F13*(1+Database!C$3)</f>
        <v>2157233.62837795</v>
      </c>
      <c r="H13" s="151"/>
      <c r="I13" s="110" t="s">
        <v>36</v>
      </c>
    </row>
    <row r="14" spans="2:9" ht="13.5" thickBot="1">
      <c r="B14" s="14" t="s">
        <v>35</v>
      </c>
      <c r="C14" s="89">
        <f>SUM(C10:C13)</f>
        <v>1985859.4501498665</v>
      </c>
      <c r="D14" s="90">
        <f>C14/$C$7</f>
        <v>1985859.4501498665</v>
      </c>
      <c r="E14" s="91" t="s">
        <v>35</v>
      </c>
      <c r="F14" s="89">
        <f>SUM(F10:F13)</f>
        <v>2381524.5381156765</v>
      </c>
      <c r="G14" s="152">
        <f>F14*(1+Database!C$3)</f>
        <v>2381524.5381156765</v>
      </c>
      <c r="H14" s="153"/>
      <c r="I14" s="110" t="s">
        <v>36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0.15</v>
      </c>
      <c r="E17" s="37">
        <v>4</v>
      </c>
      <c r="F17" s="8">
        <f>D17*E17</f>
        <v>0.6</v>
      </c>
      <c r="G17" s="8"/>
      <c r="H17" s="19">
        <f>C17*F17</f>
        <v>203058.24000000002</v>
      </c>
      <c r="I17" s="40"/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0.15</v>
      </c>
      <c r="E21" s="7">
        <v>4</v>
      </c>
      <c r="F21" s="8">
        <f>D21*E21</f>
        <v>0.6</v>
      </c>
      <c r="G21" s="8"/>
      <c r="H21" s="19">
        <f>C21*F21</f>
        <v>203058.24000000002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0.35175903307118894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0</v>
      </c>
      <c r="E24" s="37">
        <v>1</v>
      </c>
      <c r="F24" s="8"/>
      <c r="G24" s="8"/>
      <c r="H24" s="19">
        <f aca="true" t="shared" si="0" ref="H24:H39"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1</v>
      </c>
      <c r="F25" s="8"/>
      <c r="G25" s="8"/>
      <c r="H25" s="19">
        <f t="shared" si="0"/>
        <v>180000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0.3</v>
      </c>
      <c r="E26" s="37">
        <v>1</v>
      </c>
      <c r="F26" s="8"/>
      <c r="G26" s="8"/>
      <c r="H26" s="19">
        <f t="shared" si="0"/>
        <v>25500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0.3</v>
      </c>
      <c r="E27" s="37">
        <v>1</v>
      </c>
      <c r="F27" s="8"/>
      <c r="G27" s="8"/>
      <c r="H27" s="19">
        <f t="shared" si="0"/>
        <v>49500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0.3</v>
      </c>
      <c r="E28" s="37">
        <v>1.5</v>
      </c>
      <c r="F28" s="8"/>
      <c r="G28" s="8"/>
      <c r="H28" s="19">
        <f t="shared" si="0"/>
        <v>337500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0.3</v>
      </c>
      <c r="E29" s="37">
        <v>1</v>
      </c>
      <c r="F29" s="8"/>
      <c r="G29" s="8"/>
      <c r="H29" s="19">
        <f t="shared" si="0"/>
        <v>178800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0.3</v>
      </c>
      <c r="E30" s="37">
        <v>1</v>
      </c>
      <c r="F30" s="8"/>
      <c r="G30" s="8"/>
      <c r="H30" s="19">
        <f t="shared" si="0"/>
        <v>63360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</v>
      </c>
      <c r="E31" s="37">
        <v>1</v>
      </c>
      <c r="F31" s="8"/>
      <c r="G31" s="8"/>
      <c r="H31" s="19">
        <f t="shared" si="0"/>
        <v>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0.3</v>
      </c>
      <c r="E32" s="37">
        <v>2</v>
      </c>
      <c r="F32" s="8"/>
      <c r="G32" s="8"/>
      <c r="H32" s="19">
        <f t="shared" si="0"/>
        <v>22800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0.3</v>
      </c>
      <c r="E33" s="37">
        <v>1</v>
      </c>
      <c r="F33" s="8" t="s">
        <v>36</v>
      </c>
      <c r="G33" s="8"/>
      <c r="H33" s="19">
        <f t="shared" si="0"/>
        <v>34909.090909090904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0.3</v>
      </c>
      <c r="E34" s="37">
        <v>1</v>
      </c>
      <c r="F34" s="8"/>
      <c r="G34" s="8"/>
      <c r="H34" s="19">
        <f t="shared" si="0"/>
        <v>11400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0.3</v>
      </c>
      <c r="E35" s="37">
        <v>1</v>
      </c>
      <c r="F35" s="8"/>
      <c r="G35" s="8"/>
      <c r="H35" s="19">
        <f t="shared" si="0"/>
        <v>76693.33333333333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0.3</v>
      </c>
      <c r="E36" s="37">
        <v>1</v>
      </c>
      <c r="F36" s="8"/>
      <c r="G36" s="8"/>
      <c r="H36" s="19">
        <f t="shared" si="0"/>
        <v>9000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0.3</v>
      </c>
      <c r="E37" s="37">
        <v>1</v>
      </c>
      <c r="F37" s="8"/>
      <c r="G37" s="8"/>
      <c r="H37" s="19">
        <f t="shared" si="0"/>
        <v>56320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1451898.9043424241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162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15</v>
      </c>
      <c r="F67" s="8"/>
      <c r="G67" s="8"/>
      <c r="H67" s="19">
        <f aca="true" t="shared" si="2" ref="H67:H72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20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36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36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36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6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1</v>
      </c>
      <c r="E81" s="8"/>
      <c r="F81" s="8"/>
      <c r="G81" s="8"/>
      <c r="H81" s="19">
        <f>C81*D81</f>
        <v>160000</v>
      </c>
      <c r="I81" s="40" t="s">
        <v>165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160000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1611898.9043424241</v>
      </c>
      <c r="I84" s="68" t="s">
        <v>36</v>
      </c>
      <c r="J84" t="s">
        <v>36</v>
      </c>
    </row>
    <row r="85" spans="8:9" ht="12.75">
      <c r="H85" s="52">
        <f>H84/$H$114</f>
        <v>0.8928571428571428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0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/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0.75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32237.978086848485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32237.978086848485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0.017857142857142856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161189.89043424244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180532.67728635154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1805326.7728635152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1985859.4501498668</v>
      </c>
      <c r="I115" s="68" t="s">
        <v>36</v>
      </c>
      <c r="J115" t="s">
        <v>36</v>
      </c>
    </row>
  </sheetData>
  <mergeCells count="11">
    <mergeCell ref="C6:H6"/>
    <mergeCell ref="C2:H2"/>
    <mergeCell ref="C3:E3"/>
    <mergeCell ref="C4:E4"/>
    <mergeCell ref="C5:E5"/>
    <mergeCell ref="G13:H13"/>
    <mergeCell ref="G14:H14"/>
    <mergeCell ref="G9:H9"/>
    <mergeCell ref="G10:H10"/>
    <mergeCell ref="G11:H11"/>
    <mergeCell ref="G12:H12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198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8" ht="12.75">
      <c r="B5" s="4" t="s">
        <v>4</v>
      </c>
      <c r="C5" s="148">
        <v>1</v>
      </c>
      <c r="D5" s="149"/>
      <c r="E5" s="149"/>
      <c r="G5" s="99" t="s">
        <v>36</v>
      </c>
      <c r="H5" s="109" t="s">
        <v>36</v>
      </c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36</v>
      </c>
      <c r="G7" s="99"/>
      <c r="H7" s="108">
        <f>ROUND(G14,-5)</f>
        <v>1900000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36</v>
      </c>
    </row>
    <row r="10" spans="2:9" ht="12.75">
      <c r="B10" s="13" t="s">
        <v>26</v>
      </c>
      <c r="C10" s="84">
        <f>H110+(H113*H111)</f>
        <v>140842.709611</v>
      </c>
      <c r="D10" s="85">
        <f>C10/$C$7</f>
        <v>140842.709611</v>
      </c>
      <c r="E10" s="83">
        <v>2006</v>
      </c>
      <c r="F10" s="86">
        <f>C10*(1+Database!H$3)^(E10-2005)</f>
        <v>146476.41799544002</v>
      </c>
      <c r="G10" s="150">
        <f>F10*(1+Database!C$3)</f>
        <v>146476.41799544002</v>
      </c>
      <c r="H10" s="151"/>
      <c r="I10" s="110" t="s">
        <v>36</v>
      </c>
    </row>
    <row r="11" spans="2:9" ht="12.75">
      <c r="B11" s="13" t="s">
        <v>82</v>
      </c>
      <c r="C11" s="84">
        <f>H107+(H108*H113)</f>
        <v>28168.541922200002</v>
      </c>
      <c r="D11" s="85">
        <f>C11/$C$7</f>
        <v>28168.541922200002</v>
      </c>
      <c r="E11" s="83">
        <v>2008</v>
      </c>
      <c r="F11" s="86">
        <f>C11*(1+Database!H$3)^(E11-2005)</f>
        <v>31685.778740773585</v>
      </c>
      <c r="G11" s="150">
        <f>F11*(1+Database!C$3)</f>
        <v>31685.778740773585</v>
      </c>
      <c r="H11" s="151"/>
      <c r="I11" s="110" t="s">
        <v>36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10" t="s">
        <v>36</v>
      </c>
    </row>
    <row r="13" spans="2:9" ht="12.75">
      <c r="B13" s="13" t="s">
        <v>34</v>
      </c>
      <c r="C13" s="84">
        <f>H84+(H113*H85)</f>
        <v>1408427.09611</v>
      </c>
      <c r="D13" s="85">
        <f>C13/$C$7</f>
        <v>1408427.09611</v>
      </c>
      <c r="E13" s="83">
        <v>2010</v>
      </c>
      <c r="F13" s="86">
        <f>C13*(1+Database!H$3)^(E13-2005)</f>
        <v>1713566.9143010357</v>
      </c>
      <c r="G13" s="150">
        <f>F13*(1+Database!C$3)</f>
        <v>1713566.9143010357</v>
      </c>
      <c r="H13" s="151"/>
      <c r="I13" s="110" t="s">
        <v>36</v>
      </c>
    </row>
    <row r="14" spans="2:9" ht="13.5" thickBot="1">
      <c r="B14" s="14" t="s">
        <v>35</v>
      </c>
      <c r="C14" s="89">
        <f>SUM(C10:C13)</f>
        <v>1577438.3476432</v>
      </c>
      <c r="D14" s="90">
        <f>C14/$C$7</f>
        <v>1577438.3476432</v>
      </c>
      <c r="E14" s="91" t="s">
        <v>35</v>
      </c>
      <c r="F14" s="89">
        <f>SUM(F10:F13)</f>
        <v>1891729.1110372492</v>
      </c>
      <c r="G14" s="152">
        <f>F14*(1+Database!C$3)</f>
        <v>1891729.1110372492</v>
      </c>
      <c r="H14" s="153"/>
      <c r="I14" s="110" t="s">
        <v>36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0.15</v>
      </c>
      <c r="E17" s="37">
        <v>4</v>
      </c>
      <c r="F17" s="8">
        <f>D17*E17</f>
        <v>0.6</v>
      </c>
      <c r="G17" s="8"/>
      <c r="H17" s="19">
        <f>C17*F17</f>
        <v>203058.24000000002</v>
      </c>
      <c r="I17" s="40"/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0.15</v>
      </c>
      <c r="E21" s="7">
        <v>2</v>
      </c>
      <c r="F21" s="8">
        <f>D21*E21</f>
        <v>0.3</v>
      </c>
      <c r="G21" s="8"/>
      <c r="H21" s="19">
        <f>C21*F21</f>
        <v>101529.12000000001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0.35028437138323043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0</v>
      </c>
      <c r="E24" s="37">
        <v>1</v>
      </c>
      <c r="F24" s="8"/>
      <c r="G24" s="8"/>
      <c r="H24" s="19">
        <f aca="true" t="shared" si="0" ref="H24:H39"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0.7</v>
      </c>
      <c r="E25" s="37">
        <v>1</v>
      </c>
      <c r="F25" s="8"/>
      <c r="G25" s="8"/>
      <c r="H25" s="19">
        <f t="shared" si="0"/>
        <v>125999.99999999999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0.25</v>
      </c>
      <c r="E26" s="37">
        <v>1</v>
      </c>
      <c r="F26" s="8"/>
      <c r="G26" s="8"/>
      <c r="H26" s="19">
        <f t="shared" si="0"/>
        <v>21250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0.25</v>
      </c>
      <c r="E27" s="37">
        <v>1</v>
      </c>
      <c r="F27" s="8"/>
      <c r="G27" s="8"/>
      <c r="H27" s="19">
        <f t="shared" si="0"/>
        <v>41250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0.25</v>
      </c>
      <c r="E28" s="37">
        <v>1.5</v>
      </c>
      <c r="F28" s="8"/>
      <c r="G28" s="8"/>
      <c r="H28" s="19">
        <f t="shared" si="0"/>
        <v>281250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0.25</v>
      </c>
      <c r="E29" s="37">
        <v>1</v>
      </c>
      <c r="F29" s="8"/>
      <c r="G29" s="8"/>
      <c r="H29" s="19">
        <f t="shared" si="0"/>
        <v>149000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0.15</v>
      </c>
      <c r="E30" s="37">
        <v>1</v>
      </c>
      <c r="F30" s="8"/>
      <c r="G30" s="8"/>
      <c r="H30" s="19">
        <f t="shared" si="0"/>
        <v>31680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0.15</v>
      </c>
      <c r="E31" s="37">
        <v>1</v>
      </c>
      <c r="F31" s="8"/>
      <c r="G31" s="8"/>
      <c r="H31" s="19">
        <f t="shared" si="0"/>
        <v>18000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0.25</v>
      </c>
      <c r="E32" s="37">
        <v>2</v>
      </c>
      <c r="F32" s="8"/>
      <c r="G32" s="8"/>
      <c r="H32" s="19">
        <f t="shared" si="0"/>
        <v>19000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0.25</v>
      </c>
      <c r="E33" s="37">
        <v>1</v>
      </c>
      <c r="F33" s="8" t="s">
        <v>36</v>
      </c>
      <c r="G33" s="8"/>
      <c r="H33" s="19">
        <f t="shared" si="0"/>
        <v>29090.90909090909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0.25</v>
      </c>
      <c r="E34" s="37">
        <v>1</v>
      </c>
      <c r="F34" s="8"/>
      <c r="G34" s="8"/>
      <c r="H34" s="19">
        <f t="shared" si="0"/>
        <v>9500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0.15</v>
      </c>
      <c r="E35" s="37">
        <v>1</v>
      </c>
      <c r="F35" s="8"/>
      <c r="G35" s="8"/>
      <c r="H35" s="19">
        <f t="shared" si="0"/>
        <v>38346.666666666664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0.15</v>
      </c>
      <c r="E36" s="37">
        <v>1</v>
      </c>
      <c r="F36" s="8"/>
      <c r="G36" s="8"/>
      <c r="H36" s="19">
        <f t="shared" si="0"/>
        <v>4500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0.25</v>
      </c>
      <c r="E37" s="37">
        <v>1</v>
      </c>
      <c r="F37" s="8"/>
      <c r="G37" s="8"/>
      <c r="H37" s="19">
        <f t="shared" si="0"/>
        <v>46933.333333333336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1120388.269190909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162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15</v>
      </c>
      <c r="F67" s="8"/>
      <c r="G67" s="8"/>
      <c r="H67" s="19">
        <f aca="true" t="shared" si="2" ref="H67:H72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20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36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36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36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6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1</v>
      </c>
      <c r="E81" s="8"/>
      <c r="F81" s="8"/>
      <c r="G81" s="8"/>
      <c r="H81" s="19">
        <f>C81*D81</f>
        <v>160000</v>
      </c>
      <c r="I81" s="40" t="s">
        <v>36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160000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1280388.269190909</v>
      </c>
      <c r="I84" s="68" t="s">
        <v>36</v>
      </c>
      <c r="J84" t="s">
        <v>36</v>
      </c>
    </row>
    <row r="85" spans="8:9" ht="12.75">
      <c r="H85" s="52">
        <f>H84/$H$114</f>
        <v>0.8928571428571428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0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/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0.75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25607.765383818183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25607.765383818183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0.017857142857142856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128038.82691909092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143403.48614938182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1434034.8614938182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1577438.3476432</v>
      </c>
      <c r="I115" s="68" t="s">
        <v>36</v>
      </c>
      <c r="J115" t="s">
        <v>36</v>
      </c>
    </row>
  </sheetData>
  <mergeCells count="11">
    <mergeCell ref="G13:H13"/>
    <mergeCell ref="G14:H14"/>
    <mergeCell ref="G9:H9"/>
    <mergeCell ref="G10:H10"/>
    <mergeCell ref="G11:H11"/>
    <mergeCell ref="G12:H12"/>
    <mergeCell ref="C6:H6"/>
    <mergeCell ref="C2:H2"/>
    <mergeCell ref="C3:E3"/>
    <mergeCell ref="C4:E4"/>
    <mergeCell ref="C5:E5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C3" sqref="C3:E3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4.00390625" style="0" bestFit="1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188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/>
    </row>
    <row r="5" spans="2:5" ht="12.75">
      <c r="B5" s="4" t="s">
        <v>4</v>
      </c>
      <c r="C5" s="148">
        <v>1</v>
      </c>
      <c r="D5" s="149"/>
      <c r="E5" s="149"/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172</v>
      </c>
      <c r="G7" s="99"/>
      <c r="H7" s="108">
        <f>ROUND(I10+I11+I13,-4)</f>
        <v>2340000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171</v>
      </c>
    </row>
    <row r="10" spans="2:9" ht="12.75">
      <c r="B10" s="13" t="s">
        <v>26</v>
      </c>
      <c r="C10" s="84">
        <f>H110+(H113*H111)</f>
        <v>401024.5441100001</v>
      </c>
      <c r="D10" s="85">
        <f>C10/$C$7</f>
        <v>401024.5441100001</v>
      </c>
      <c r="E10" s="83">
        <v>2006</v>
      </c>
      <c r="F10" s="86">
        <f>C10*(1+Database!H$3)^(E10-2005)</f>
        <v>417065.5258744001</v>
      </c>
      <c r="G10" s="150">
        <f>F10*(1+Database!C$3)</f>
        <v>417065.5258744001</v>
      </c>
      <c r="H10" s="151"/>
      <c r="I10" s="98">
        <f>G10/E$17</f>
        <v>208532.76293720005</v>
      </c>
    </row>
    <row r="11" spans="2:9" ht="12.75">
      <c r="B11" s="13" t="s">
        <v>82</v>
      </c>
      <c r="C11" s="84">
        <f>H107+(H108*H113)</f>
        <v>80204.90882200001</v>
      </c>
      <c r="D11" s="85">
        <f>C11/$C$7</f>
        <v>80204.90882200001</v>
      </c>
      <c r="E11" s="83">
        <v>2006</v>
      </c>
      <c r="F11" s="86">
        <f>C11*(1+Database!H$3)^(E11-2005)</f>
        <v>83413.10517488001</v>
      </c>
      <c r="G11" s="150">
        <f>F11*(1+Database!C$3)</f>
        <v>83413.10517488001</v>
      </c>
      <c r="H11" s="151"/>
      <c r="I11" s="98">
        <f>G11/E$17</f>
        <v>41706.552587440005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2006</v>
      </c>
      <c r="F12" s="86">
        <f>C12*(1+Database!H$3)^(E12-2005)</f>
        <v>0</v>
      </c>
      <c r="G12" s="150">
        <f>F12*(1+Database!C$3)</f>
        <v>0</v>
      </c>
      <c r="H12" s="151"/>
      <c r="I12" s="98">
        <f>G12/E$17</f>
        <v>0</v>
      </c>
    </row>
    <row r="13" spans="2:9" ht="12.75">
      <c r="B13" s="13" t="s">
        <v>34</v>
      </c>
      <c r="C13" s="84">
        <f>H84+(H113*H85)</f>
        <v>4010245.4411000004</v>
      </c>
      <c r="D13" s="85">
        <f>C13/$C$7</f>
        <v>4010245.4411000004</v>
      </c>
      <c r="E13" s="83">
        <v>2006</v>
      </c>
      <c r="F13" s="86">
        <f>C13*(1+Database!H$3)^(E13-2005)</f>
        <v>4170655.2587440005</v>
      </c>
      <c r="G13" s="150">
        <f>F13*(1+Database!C$3)</f>
        <v>4170655.2587440005</v>
      </c>
      <c r="H13" s="151"/>
      <c r="I13" s="98">
        <f>G13/E$17</f>
        <v>2085327.6293720002</v>
      </c>
    </row>
    <row r="14" spans="2:9" ht="13.5" thickBot="1">
      <c r="B14" s="14" t="s">
        <v>35</v>
      </c>
      <c r="C14" s="89">
        <f>SUM(C10:C13)</f>
        <v>4491474.894032001</v>
      </c>
      <c r="D14" s="90">
        <f>C14/$C$7</f>
        <v>4491474.894032001</v>
      </c>
      <c r="E14" s="91" t="s">
        <v>35</v>
      </c>
      <c r="F14" s="89">
        <f>SUM(F10:F13)</f>
        <v>4671133.8897932805</v>
      </c>
      <c r="G14" s="152">
        <f>F14*(1+Database!C$3)</f>
        <v>4671133.8897932805</v>
      </c>
      <c r="H14" s="153"/>
      <c r="I14" s="98">
        <f>G14/E$17</f>
        <v>2335566.9448966403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1</v>
      </c>
      <c r="E17" s="37">
        <v>2</v>
      </c>
      <c r="F17" s="8">
        <f>D17*E17</f>
        <v>2</v>
      </c>
      <c r="G17" s="8"/>
      <c r="H17" s="19">
        <f>C17*F17</f>
        <v>676860.8</v>
      </c>
      <c r="I17" s="40" t="s">
        <v>36</v>
      </c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1</v>
      </c>
      <c r="E19" s="37">
        <v>2</v>
      </c>
      <c r="F19" s="8">
        <f>D19*E19</f>
        <v>2</v>
      </c>
      <c r="G19" s="8"/>
      <c r="H19" s="19">
        <f>C19*F19</f>
        <v>94089.6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</v>
      </c>
      <c r="E21" s="7">
        <v>0</v>
      </c>
      <c r="F21" s="8">
        <f>D21*E21</f>
        <v>0</v>
      </c>
      <c r="G21" s="8"/>
      <c r="H21" s="19">
        <f>C21*F21</f>
        <v>0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0.001</v>
      </c>
      <c r="I23" s="95">
        <f>(H25+H27+H28+H43+H47+H48+H57)/H84</f>
        <v>0.6007113617811924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1</v>
      </c>
      <c r="E24" s="37">
        <v>0</v>
      </c>
      <c r="F24" s="8"/>
      <c r="G24" s="8"/>
      <c r="H24" s="19">
        <f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2</v>
      </c>
      <c r="F25" s="8"/>
      <c r="G25" s="8"/>
      <c r="H25" s="19">
        <f>C25*D25*E25</f>
        <v>360000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1</v>
      </c>
      <c r="E26" s="37">
        <v>0</v>
      </c>
      <c r="F26" s="8"/>
      <c r="G26" s="8"/>
      <c r="H26" s="19">
        <f aca="true" t="shared" si="0" ref="H26:H39">C26*D26*E26</f>
        <v>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1</v>
      </c>
      <c r="E27" s="37">
        <v>2</v>
      </c>
      <c r="F27" s="8"/>
      <c r="G27" s="8"/>
      <c r="H27" s="19">
        <f t="shared" si="0"/>
        <v>330000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1</v>
      </c>
      <c r="E28" s="37">
        <v>2</v>
      </c>
      <c r="F28" s="8"/>
      <c r="G28" s="8"/>
      <c r="H28" s="19">
        <f t="shared" si="0"/>
        <v>1500000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</v>
      </c>
      <c r="E29" s="37">
        <v>1</v>
      </c>
      <c r="F29" s="8"/>
      <c r="G29" s="8"/>
      <c r="H29" s="19">
        <f t="shared" si="0"/>
        <v>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</v>
      </c>
      <c r="E30" s="37">
        <v>1</v>
      </c>
      <c r="F30" s="8"/>
      <c r="G30" s="8"/>
      <c r="H30" s="19">
        <f t="shared" si="0"/>
        <v>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1</v>
      </c>
      <c r="E31" s="37">
        <v>2</v>
      </c>
      <c r="F31" s="8"/>
      <c r="G31" s="8"/>
      <c r="H31" s="19">
        <f t="shared" si="0"/>
        <v>240000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1</v>
      </c>
      <c r="E32" s="37">
        <v>2</v>
      </c>
      <c r="F32" s="8"/>
      <c r="G32" s="8"/>
      <c r="H32" s="19">
        <f t="shared" si="0"/>
        <v>76000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1</v>
      </c>
      <c r="E33" s="37">
        <v>2</v>
      </c>
      <c r="F33" s="8" t="s">
        <v>36</v>
      </c>
      <c r="G33" s="8"/>
      <c r="H33" s="19">
        <f t="shared" si="0"/>
        <v>232727.2727272727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1</v>
      </c>
      <c r="E34" s="37">
        <v>2</v>
      </c>
      <c r="F34" s="8"/>
      <c r="G34" s="8"/>
      <c r="H34" s="19">
        <f t="shared" si="0"/>
        <v>76000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</v>
      </c>
      <c r="E35" s="37">
        <v>1</v>
      </c>
      <c r="F35" s="8"/>
      <c r="G35" s="8"/>
      <c r="H35" s="19">
        <f t="shared" si="0"/>
        <v>0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1</v>
      </c>
      <c r="E36" s="37">
        <v>2</v>
      </c>
      <c r="F36" s="8"/>
      <c r="G36" s="8"/>
      <c r="H36" s="19">
        <f t="shared" si="0"/>
        <v>60000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</v>
      </c>
      <c r="E37" s="37">
        <v>1.5</v>
      </c>
      <c r="F37" s="8"/>
      <c r="G37" s="8"/>
      <c r="H37" s="19">
        <f t="shared" si="0"/>
        <v>0</v>
      </c>
      <c r="I37" s="40" t="s">
        <v>36</v>
      </c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3645677.673727273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36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161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0</v>
      </c>
      <c r="F67" s="8"/>
      <c r="G67" s="8"/>
      <c r="H67" s="19">
        <f aca="true" t="shared" si="2" ref="H67:H75">C67*D67*E67</f>
        <v>0</v>
      </c>
      <c r="I67" s="40" t="s">
        <v>57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51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49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56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0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 t="shared" si="2"/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 t="shared" si="2"/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 aca="true" t="shared" si="3" ref="H76:H81"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 t="shared" si="3"/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 t="shared" si="3"/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 t="shared" si="3"/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0</v>
      </c>
      <c r="E81" s="8"/>
      <c r="F81" s="8"/>
      <c r="G81" s="8"/>
      <c r="H81" s="19">
        <f t="shared" si="3"/>
        <v>0</v>
      </c>
      <c r="I81" s="40"/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3645677.673727273</v>
      </c>
      <c r="I84" s="68" t="s">
        <v>36</v>
      </c>
      <c r="J84" t="s">
        <v>36</v>
      </c>
    </row>
    <row r="85" spans="8:9" ht="12.75">
      <c r="H85" s="52">
        <f>H84/$H$114</f>
        <v>0.8928571428571428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12</v>
      </c>
      <c r="F88" s="42">
        <f aca="true" t="shared" si="4" ref="F88:F95">D88*5280*E88/43560</f>
        <v>0</v>
      </c>
      <c r="G88" s="8"/>
      <c r="H88" s="19">
        <f aca="true" t="shared" si="5" ref="H88:H95">C88*F88</f>
        <v>0</v>
      </c>
      <c r="I88" s="40" t="s">
        <v>159</v>
      </c>
    </row>
    <row r="89" spans="2:9" ht="12.75">
      <c r="B89" s="18"/>
      <c r="C89" s="6">
        <f>Database!C77</f>
        <v>750000</v>
      </c>
      <c r="D89" s="7">
        <v>0</v>
      </c>
      <c r="E89" s="7">
        <v>18</v>
      </c>
      <c r="F89" s="42">
        <f t="shared" si="4"/>
        <v>0</v>
      </c>
      <c r="G89" s="8"/>
      <c r="H89" s="19">
        <f t="shared" si="5"/>
        <v>0</v>
      </c>
      <c r="I89" s="40" t="s">
        <v>160</v>
      </c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12</v>
      </c>
      <c r="F90" s="42">
        <f t="shared" si="4"/>
        <v>0</v>
      </c>
      <c r="G90" s="8"/>
      <c r="H90" s="19">
        <f t="shared" si="5"/>
        <v>0</v>
      </c>
      <c r="I90" s="40" t="s">
        <v>159</v>
      </c>
    </row>
    <row r="91" spans="2:9" ht="12.75">
      <c r="B91" s="18"/>
      <c r="C91" s="6">
        <f>Database!C79</f>
        <v>1000000</v>
      </c>
      <c r="D91" s="7">
        <v>0</v>
      </c>
      <c r="E91" s="7">
        <v>18</v>
      </c>
      <c r="F91" s="42">
        <f t="shared" si="4"/>
        <v>0</v>
      </c>
      <c r="G91" s="8"/>
      <c r="H91" s="19">
        <f t="shared" si="5"/>
        <v>0</v>
      </c>
      <c r="I91" s="40" t="s">
        <v>160</v>
      </c>
    </row>
    <row r="92" spans="2:9" ht="12.75">
      <c r="B92" s="18" t="s">
        <v>23</v>
      </c>
      <c r="C92" s="6">
        <f>Database!C80</f>
        <v>500000</v>
      </c>
      <c r="D92" s="7">
        <v>0</v>
      </c>
      <c r="E92" s="7">
        <v>0</v>
      </c>
      <c r="F92" s="42">
        <f t="shared" si="4"/>
        <v>0</v>
      </c>
      <c r="G92" s="8"/>
      <c r="H92" s="19">
        <f t="shared" si="5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4"/>
        <v>0</v>
      </c>
      <c r="G93" s="8"/>
      <c r="H93" s="19">
        <f t="shared" si="5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4"/>
        <v>0</v>
      </c>
      <c r="G94" s="8"/>
      <c r="H94" s="19">
        <f t="shared" si="5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4"/>
        <v>0</v>
      </c>
      <c r="G95" s="8"/>
      <c r="H95" s="19">
        <f t="shared" si="5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37">
        <v>1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94">
        <f>0.02*(H84)</f>
        <v>72913.55347454546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72913.55347454546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0.017857142857142856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364567.76737272734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408315.8994574546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4083158.994574546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4491474.894032001</v>
      </c>
      <c r="I115" s="68" t="s">
        <v>36</v>
      </c>
      <c r="J115" t="s">
        <v>36</v>
      </c>
    </row>
  </sheetData>
  <mergeCells count="11">
    <mergeCell ref="G13:H13"/>
    <mergeCell ref="G14:H14"/>
    <mergeCell ref="G9:H9"/>
    <mergeCell ref="G10:H10"/>
    <mergeCell ref="G11:H11"/>
    <mergeCell ref="G12:H12"/>
    <mergeCell ref="C6:H6"/>
    <mergeCell ref="C2:H2"/>
    <mergeCell ref="C3:E3"/>
    <mergeCell ref="C4:E4"/>
    <mergeCell ref="C5:E5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H8" sqref="H8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198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8" ht="12.75">
      <c r="B5" s="4" t="s">
        <v>4</v>
      </c>
      <c r="C5" s="148">
        <v>1</v>
      </c>
      <c r="D5" s="149"/>
      <c r="E5" s="149"/>
      <c r="G5" s="99" t="s">
        <v>36</v>
      </c>
      <c r="H5" s="109" t="s">
        <v>36</v>
      </c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36</v>
      </c>
      <c r="G7" s="99"/>
      <c r="H7" s="108">
        <f>ROUND(G14,-5)</f>
        <v>1400000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36</v>
      </c>
    </row>
    <row r="10" spans="2:9" ht="12.75">
      <c r="B10" s="13" t="s">
        <v>26</v>
      </c>
      <c r="C10" s="84">
        <f>H110+(H113*H111)</f>
        <v>103461.33974433334</v>
      </c>
      <c r="D10" s="85">
        <f>C10/$C$7</f>
        <v>103461.33974433334</v>
      </c>
      <c r="E10" s="83">
        <v>2006</v>
      </c>
      <c r="F10" s="86">
        <f>C10*(1+Database!H$3)^(E10-2005)</f>
        <v>107599.79333410668</v>
      </c>
      <c r="G10" s="150">
        <f>F10*(1+Database!C$3)</f>
        <v>107599.79333410668</v>
      </c>
      <c r="H10" s="151"/>
      <c r="I10" s="110" t="s">
        <v>36</v>
      </c>
    </row>
    <row r="11" spans="2:9" ht="12.75">
      <c r="B11" s="13" t="s">
        <v>82</v>
      </c>
      <c r="C11" s="84">
        <f>H107+(H108*H113)</f>
        <v>20692.26794886667</v>
      </c>
      <c r="D11" s="85">
        <f>C11/$C$7</f>
        <v>20692.26794886667</v>
      </c>
      <c r="E11" s="83">
        <v>2008</v>
      </c>
      <c r="F11" s="86">
        <f>C11*(1+Database!H$3)^(E11-2005)</f>
        <v>23275.98729403396</v>
      </c>
      <c r="G11" s="150">
        <f>F11*(1+Database!C$3)</f>
        <v>23275.98729403396</v>
      </c>
      <c r="H11" s="151"/>
      <c r="I11" s="110" t="s">
        <v>36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10" t="s">
        <v>36</v>
      </c>
    </row>
    <row r="13" spans="2:9" ht="12.75">
      <c r="B13" s="13" t="s">
        <v>34</v>
      </c>
      <c r="C13" s="84">
        <f>H84+(H113*H85)</f>
        <v>1034613.3974433334</v>
      </c>
      <c r="D13" s="85">
        <f>C13/$C$7</f>
        <v>1034613.3974433334</v>
      </c>
      <c r="E13" s="83">
        <v>2010</v>
      </c>
      <c r="F13" s="86">
        <f>C13*(1+Database!H$3)^(E13-2005)</f>
        <v>1258765.3928613567</v>
      </c>
      <c r="G13" s="150">
        <f>F13*(1+Database!C$3)</f>
        <v>1258765.3928613567</v>
      </c>
      <c r="H13" s="151"/>
      <c r="I13" s="110" t="s">
        <v>36</v>
      </c>
    </row>
    <row r="14" spans="2:9" ht="13.5" thickBot="1">
      <c r="B14" s="14" t="s">
        <v>35</v>
      </c>
      <c r="C14" s="89">
        <f>SUM(C10:C13)</f>
        <v>1158767.0051365334</v>
      </c>
      <c r="D14" s="90">
        <f>C14/$C$7</f>
        <v>1158767.0051365334</v>
      </c>
      <c r="E14" s="91" t="s">
        <v>35</v>
      </c>
      <c r="F14" s="89">
        <f>SUM(F10:F13)</f>
        <v>1389641.1734894973</v>
      </c>
      <c r="G14" s="152">
        <f>F14*(1+Database!C$3)</f>
        <v>1389641.1734894973</v>
      </c>
      <c r="H14" s="153"/>
      <c r="I14" s="110" t="s">
        <v>36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0.15</v>
      </c>
      <c r="E17" s="37">
        <v>2</v>
      </c>
      <c r="F17" s="8">
        <f>D17*E17</f>
        <v>0.3</v>
      </c>
      <c r="G17" s="8"/>
      <c r="H17" s="19">
        <f>C17*F17</f>
        <v>101529.12000000001</v>
      </c>
      <c r="I17" s="40"/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0.15</v>
      </c>
      <c r="E21" s="7">
        <v>2</v>
      </c>
      <c r="F21" s="8">
        <f>D21*E21</f>
        <v>0.3</v>
      </c>
      <c r="G21" s="8"/>
      <c r="H21" s="19">
        <f>C21*F21</f>
        <v>101529.12000000001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0.36999327569694096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0</v>
      </c>
      <c r="E24" s="37">
        <v>1</v>
      </c>
      <c r="F24" s="8"/>
      <c r="G24" s="8"/>
      <c r="H24" s="19">
        <f aca="true" t="shared" si="0" ref="H24:H39"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0.5</v>
      </c>
      <c r="E25" s="37">
        <v>1</v>
      </c>
      <c r="F25" s="8"/>
      <c r="G25" s="8"/>
      <c r="H25" s="19">
        <f t="shared" si="0"/>
        <v>90000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0.2</v>
      </c>
      <c r="E26" s="37">
        <v>1</v>
      </c>
      <c r="F26" s="8"/>
      <c r="G26" s="8"/>
      <c r="H26" s="19">
        <f t="shared" si="0"/>
        <v>17000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0.2</v>
      </c>
      <c r="E27" s="37">
        <v>1</v>
      </c>
      <c r="F27" s="8"/>
      <c r="G27" s="8"/>
      <c r="H27" s="19">
        <f t="shared" si="0"/>
        <v>33000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0.2</v>
      </c>
      <c r="E28" s="37">
        <v>1.5</v>
      </c>
      <c r="F28" s="8"/>
      <c r="G28" s="8"/>
      <c r="H28" s="19">
        <f t="shared" si="0"/>
        <v>225000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0.2</v>
      </c>
      <c r="E29" s="37">
        <v>1</v>
      </c>
      <c r="F29" s="8"/>
      <c r="G29" s="8"/>
      <c r="H29" s="19">
        <f t="shared" si="0"/>
        <v>119200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0.15</v>
      </c>
      <c r="E30" s="37">
        <v>1</v>
      </c>
      <c r="F30" s="8"/>
      <c r="G30" s="8"/>
      <c r="H30" s="19">
        <f t="shared" si="0"/>
        <v>31680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0.15</v>
      </c>
      <c r="E31" s="37">
        <v>1</v>
      </c>
      <c r="F31" s="8"/>
      <c r="G31" s="8"/>
      <c r="H31" s="19">
        <f t="shared" si="0"/>
        <v>18000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0.2</v>
      </c>
      <c r="E32" s="37">
        <v>2</v>
      </c>
      <c r="F32" s="8"/>
      <c r="G32" s="8"/>
      <c r="H32" s="19">
        <f t="shared" si="0"/>
        <v>15200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0.2</v>
      </c>
      <c r="E33" s="37">
        <v>1</v>
      </c>
      <c r="F33" s="8" t="s">
        <v>36</v>
      </c>
      <c r="G33" s="8"/>
      <c r="H33" s="19">
        <f t="shared" si="0"/>
        <v>23272.727272727272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0.2</v>
      </c>
      <c r="E34" s="37">
        <v>1</v>
      </c>
      <c r="F34" s="8"/>
      <c r="G34" s="8"/>
      <c r="H34" s="19">
        <f t="shared" si="0"/>
        <v>7600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</v>
      </c>
      <c r="E35" s="37">
        <v>1</v>
      </c>
      <c r="F35" s="8"/>
      <c r="G35" s="8"/>
      <c r="H35" s="19">
        <f t="shared" si="0"/>
        <v>0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0</v>
      </c>
      <c r="E36" s="37">
        <v>1</v>
      </c>
      <c r="F36" s="8"/>
      <c r="G36" s="8"/>
      <c r="H36" s="19">
        <f t="shared" si="0"/>
        <v>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0.2</v>
      </c>
      <c r="E37" s="37">
        <v>1</v>
      </c>
      <c r="F37" s="8"/>
      <c r="G37" s="8"/>
      <c r="H37" s="19">
        <f t="shared" si="0"/>
        <v>37546.66666666667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820557.634039394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162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15</v>
      </c>
      <c r="F67" s="8"/>
      <c r="G67" s="8"/>
      <c r="H67" s="19">
        <f aca="true" t="shared" si="2" ref="H67:H72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20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36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36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36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6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v>120000</v>
      </c>
      <c r="D81" s="7">
        <v>1</v>
      </c>
      <c r="E81" s="8"/>
      <c r="F81" s="8"/>
      <c r="G81" s="8"/>
      <c r="H81" s="19">
        <f>C81*D81</f>
        <v>120000</v>
      </c>
      <c r="I81" s="40" t="s">
        <v>36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120000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940557.634039394</v>
      </c>
      <c r="I84" s="68" t="s">
        <v>36</v>
      </c>
      <c r="J84" t="s">
        <v>36</v>
      </c>
    </row>
    <row r="85" spans="8:9" ht="12.75">
      <c r="H85" s="52">
        <f>H84/$H$114</f>
        <v>0.8928571428571429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0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/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0.75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18811.15268078788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18811.15268078788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94055.7634039394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0.0892857142857143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105342.45501241212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1053424.5501241211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1158767.0051365332</v>
      </c>
      <c r="I115" s="68" t="s">
        <v>36</v>
      </c>
      <c r="J115" t="s">
        <v>36</v>
      </c>
    </row>
  </sheetData>
  <mergeCells count="11">
    <mergeCell ref="C6:H6"/>
    <mergeCell ref="C2:H2"/>
    <mergeCell ref="C3:E3"/>
    <mergeCell ref="C4:E4"/>
    <mergeCell ref="C5:E5"/>
    <mergeCell ref="G13:H13"/>
    <mergeCell ref="G14:H14"/>
    <mergeCell ref="G9:H9"/>
    <mergeCell ref="G10:H10"/>
    <mergeCell ref="G11:H11"/>
    <mergeCell ref="G12:H12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E22" sqref="E22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8515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174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5" ht="12.75">
      <c r="B5" s="4" t="s">
        <v>4</v>
      </c>
      <c r="C5" s="148">
        <v>1</v>
      </c>
      <c r="D5" s="149"/>
      <c r="E5" s="149"/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207</v>
      </c>
      <c r="G7" s="99"/>
      <c r="H7" s="108">
        <f>ROUND(G14,-4)</f>
        <v>590000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36</v>
      </c>
    </row>
    <row r="10" spans="2:9" ht="12.75">
      <c r="B10" s="13" t="s">
        <v>26</v>
      </c>
      <c r="C10" s="84">
        <f>H110+(H113*H111)</f>
        <v>44738.842411000005</v>
      </c>
      <c r="D10" s="85">
        <f>C10/$C$7</f>
        <v>44738.842411000005</v>
      </c>
      <c r="E10" s="83">
        <v>2006</v>
      </c>
      <c r="F10" s="86">
        <f>C10*(1+Database!H$3)^(E10-2005)</f>
        <v>46528.39610744001</v>
      </c>
      <c r="G10" s="150">
        <f>F10*(1+Database!C$3)</f>
        <v>46528.39610744001</v>
      </c>
      <c r="H10" s="151"/>
      <c r="I10" s="110" t="s">
        <v>36</v>
      </c>
    </row>
    <row r="11" spans="2:9" ht="12.75">
      <c r="B11" s="13" t="s">
        <v>82</v>
      </c>
      <c r="C11" s="84">
        <f>H107+(H108*H113)</f>
        <v>0</v>
      </c>
      <c r="D11" s="85">
        <f>C11/$C$7</f>
        <v>0</v>
      </c>
      <c r="E11" s="83">
        <v>2008</v>
      </c>
      <c r="F11" s="86">
        <f>C11*(1+Database!H$3)^(E11-2005)</f>
        <v>0</v>
      </c>
      <c r="G11" s="150">
        <v>0</v>
      </c>
      <c r="H11" s="151"/>
      <c r="I11" s="110" t="s">
        <v>36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10" t="s">
        <v>36</v>
      </c>
    </row>
    <row r="13" spans="2:9" ht="12.75">
      <c r="B13" s="13" t="s">
        <v>34</v>
      </c>
      <c r="C13" s="84">
        <f>H84+(H113*H85)</f>
        <v>447388.42411</v>
      </c>
      <c r="D13" s="85">
        <f>C13/$C$7</f>
        <v>447388.42411</v>
      </c>
      <c r="E13" s="83">
        <v>2010</v>
      </c>
      <c r="F13" s="86">
        <f>C13*(1+Database!H$3)^(E13-2005)</f>
        <v>544316.4246935939</v>
      </c>
      <c r="G13" s="150">
        <f>F13*(1+Database!C$3)</f>
        <v>544316.4246935939</v>
      </c>
      <c r="H13" s="151"/>
      <c r="I13" s="110" t="s">
        <v>36</v>
      </c>
    </row>
    <row r="14" spans="2:9" ht="13.5" thickBot="1">
      <c r="B14" s="14" t="s">
        <v>35</v>
      </c>
      <c r="C14" s="89">
        <f>SUM(C10:C13)</f>
        <v>492127.266521</v>
      </c>
      <c r="D14" s="90">
        <f>C14/$C$7</f>
        <v>492127.266521</v>
      </c>
      <c r="E14" s="91" t="s">
        <v>35</v>
      </c>
      <c r="F14" s="89">
        <f>SUM(F10:F13)</f>
        <v>590844.8208010339</v>
      </c>
      <c r="G14" s="152">
        <f>F14*(1+Database!C$3)</f>
        <v>590844.8208010339</v>
      </c>
      <c r="H14" s="153"/>
      <c r="I14" s="110" t="s">
        <v>36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0</v>
      </c>
      <c r="E17" s="37">
        <v>0</v>
      </c>
      <c r="F17" s="8">
        <f>D17*E17</f>
        <v>0</v>
      </c>
      <c r="G17" s="8"/>
      <c r="H17" s="19">
        <f>C17*F17</f>
        <v>0</v>
      </c>
      <c r="I17" s="40"/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1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">
        <v>209</v>
      </c>
      <c r="C20" s="6">
        <f>Database!C14</f>
        <v>143844.8</v>
      </c>
      <c r="D20" s="37">
        <v>1</v>
      </c>
      <c r="E20" s="7">
        <v>0.8</v>
      </c>
      <c r="F20" s="8">
        <f>D20*E20</f>
        <v>0.8</v>
      </c>
      <c r="G20" s="8"/>
      <c r="H20" s="19">
        <f>C20*F20</f>
        <v>115075.84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</v>
      </c>
      <c r="E21" s="7">
        <v>0</v>
      </c>
      <c r="F21" s="8">
        <f>D21*E21</f>
        <v>0</v>
      </c>
      <c r="G21" s="8"/>
      <c r="H21" s="19">
        <f>C21*F21</f>
        <v>0</v>
      </c>
      <c r="I21" s="40"/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0.562430734546973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0</v>
      </c>
      <c r="E24" s="37">
        <v>1</v>
      </c>
      <c r="F24" s="8"/>
      <c r="G24" s="8"/>
      <c r="H24" s="19">
        <f aca="true" t="shared" si="0" ref="H24:H39"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0</v>
      </c>
      <c r="E25" s="37">
        <v>1</v>
      </c>
      <c r="F25" s="8"/>
      <c r="G25" s="8"/>
      <c r="H25" s="19">
        <f t="shared" si="0"/>
        <v>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0</v>
      </c>
      <c r="E26" s="37">
        <v>1</v>
      </c>
      <c r="F26" s="8"/>
      <c r="G26" s="8"/>
      <c r="H26" s="19">
        <f t="shared" si="0"/>
        <v>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1</v>
      </c>
      <c r="E27" s="37">
        <v>0.25</v>
      </c>
      <c r="F27" s="8"/>
      <c r="G27" s="8"/>
      <c r="H27" s="19">
        <f t="shared" si="0"/>
        <v>41250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1</v>
      </c>
      <c r="E28" s="37">
        <v>0.25</v>
      </c>
      <c r="F28" s="8"/>
      <c r="G28" s="8"/>
      <c r="H28" s="19">
        <f t="shared" si="0"/>
        <v>187500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</v>
      </c>
      <c r="E29" s="37">
        <v>1</v>
      </c>
      <c r="F29" s="8"/>
      <c r="G29" s="8"/>
      <c r="H29" s="19">
        <f t="shared" si="0"/>
        <v>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</v>
      </c>
      <c r="E30" s="37">
        <v>1</v>
      </c>
      <c r="F30" s="8"/>
      <c r="G30" s="8"/>
      <c r="H30" s="19">
        <f t="shared" si="0"/>
        <v>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1</v>
      </c>
      <c r="E31" s="37">
        <v>0.25</v>
      </c>
      <c r="F31" s="8"/>
      <c r="G31" s="8"/>
      <c r="H31" s="19">
        <f t="shared" si="0"/>
        <v>30000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1</v>
      </c>
      <c r="E32" s="37">
        <v>0.1</v>
      </c>
      <c r="F32" s="8"/>
      <c r="G32" s="8"/>
      <c r="H32" s="19">
        <f t="shared" si="0"/>
        <v>3800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1</v>
      </c>
      <c r="E33" s="37">
        <v>0.25</v>
      </c>
      <c r="F33" s="8" t="s">
        <v>36</v>
      </c>
      <c r="G33" s="8"/>
      <c r="H33" s="19">
        <f t="shared" si="0"/>
        <v>29090.90909090909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1</v>
      </c>
      <c r="E34" s="37">
        <v>0</v>
      </c>
      <c r="F34" s="8"/>
      <c r="G34" s="8"/>
      <c r="H34" s="19">
        <f t="shared" si="0"/>
        <v>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1</v>
      </c>
      <c r="E35" s="37">
        <v>0</v>
      </c>
      <c r="F35" s="8"/>
      <c r="G35" s="8"/>
      <c r="H35" s="19">
        <f t="shared" si="0"/>
        <v>0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1</v>
      </c>
      <c r="E36" s="37">
        <v>0</v>
      </c>
      <c r="F36" s="8"/>
      <c r="G36" s="8"/>
      <c r="H36" s="19">
        <f t="shared" si="0"/>
        <v>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</v>
      </c>
      <c r="E37" s="37">
        <v>1</v>
      </c>
      <c r="F37" s="8"/>
      <c r="G37" s="8"/>
      <c r="H37" s="19">
        <f t="shared" si="0"/>
        <v>0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406716.7491909091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4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50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0</v>
      </c>
      <c r="F67" s="8"/>
      <c r="G67" s="8"/>
      <c r="H67" s="19">
        <f aca="true" t="shared" si="2" ref="H67:H72">C67*D67*E67</f>
        <v>0</v>
      </c>
      <c r="I67" s="40" t="s">
        <v>57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51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49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56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0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v>200000</v>
      </c>
      <c r="D81" s="7">
        <v>0</v>
      </c>
      <c r="E81" s="8"/>
      <c r="F81" s="8"/>
      <c r="G81" s="8"/>
      <c r="H81" s="19">
        <f>C81*D81</f>
        <v>0</v>
      </c>
      <c r="I81" s="40"/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406716.7491909091</v>
      </c>
      <c r="I84" s="68" t="s">
        <v>36</v>
      </c>
      <c r="J84" t="s">
        <v>36</v>
      </c>
    </row>
    <row r="85" spans="8:9" ht="12.75">
      <c r="H85" s="52">
        <f>H84/$H$114</f>
        <v>0.9090909090909091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12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18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>
        <v>0</v>
      </c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1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v>0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0</v>
      </c>
      <c r="I107" s="68" t="s">
        <v>36</v>
      </c>
      <c r="J107" t="s">
        <v>36</v>
      </c>
    </row>
    <row r="108" spans="3:9" ht="12.75">
      <c r="C108" s="3"/>
      <c r="H108" s="53">
        <f>H107/$H$114</f>
        <v>0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40671.67491909091</v>
      </c>
      <c r="I110" s="68" t="s">
        <v>36</v>
      </c>
      <c r="J110" t="s">
        <v>36</v>
      </c>
    </row>
    <row r="111" spans="3:9" ht="12.75">
      <c r="C111" s="3"/>
      <c r="H111" s="53">
        <f>H110/$H$114</f>
        <v>0.09090909090909091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44738.842411000005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447388.42411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492127.266521</v>
      </c>
      <c r="I115" s="68" t="s">
        <v>36</v>
      </c>
      <c r="J115" t="s">
        <v>36</v>
      </c>
    </row>
  </sheetData>
  <mergeCells count="11">
    <mergeCell ref="G13:H13"/>
    <mergeCell ref="G14:H14"/>
    <mergeCell ref="G9:H9"/>
    <mergeCell ref="G10:H10"/>
    <mergeCell ref="G11:H11"/>
    <mergeCell ref="G12:H12"/>
    <mergeCell ref="C6:H6"/>
    <mergeCell ref="C2:H2"/>
    <mergeCell ref="C3:E3"/>
    <mergeCell ref="C4:E4"/>
    <mergeCell ref="C5:E5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7"/>
  <sheetViews>
    <sheetView workbookViewId="0" topLeftCell="A49">
      <selection activeCell="C58" sqref="C58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2.28125" style="0" bestFit="1" customWidth="1"/>
    <col min="6" max="6" width="13.140625" style="0" customWidth="1"/>
    <col min="8" max="8" width="13.7109375" style="0" bestFit="1" customWidth="1"/>
    <col min="9" max="9" width="20.00390625" style="0" customWidth="1"/>
    <col min="13" max="13" width="11.28125" style="0" customWidth="1"/>
  </cols>
  <sheetData>
    <row r="1" spans="2:8" ht="15">
      <c r="B1" s="11" t="s">
        <v>114</v>
      </c>
      <c r="H1" s="10"/>
    </row>
    <row r="2" spans="3:8" ht="12.75">
      <c r="C2" s="79" t="s">
        <v>152</v>
      </c>
      <c r="D2" s="16" t="s">
        <v>150</v>
      </c>
      <c r="E2" s="16" t="s">
        <v>151</v>
      </c>
      <c r="F2" s="17"/>
      <c r="H2" s="72" t="s">
        <v>115</v>
      </c>
    </row>
    <row r="3" spans="3:8" ht="12.75">
      <c r="C3" s="80">
        <f>SUM(D3:F3)</f>
        <v>0</v>
      </c>
      <c r="D3" s="81">
        <v>0</v>
      </c>
      <c r="E3" s="81">
        <v>0</v>
      </c>
      <c r="F3" s="82">
        <v>0</v>
      </c>
      <c r="H3" s="43">
        <v>0.04</v>
      </c>
    </row>
    <row r="4" spans="9:10" ht="12.75">
      <c r="I4" t="s">
        <v>127</v>
      </c>
      <c r="J4" t="s">
        <v>170</v>
      </c>
    </row>
    <row r="5" spans="2:10" ht="12.75">
      <c r="B5" s="18" t="s">
        <v>147</v>
      </c>
      <c r="C5" s="6">
        <f>E5*(12*5280/9)</f>
        <v>338430.4</v>
      </c>
      <c r="E5" s="96">
        <f>J10</f>
        <v>48.072500000000005</v>
      </c>
      <c r="F5" t="s">
        <v>122</v>
      </c>
      <c r="G5" t="s">
        <v>123</v>
      </c>
      <c r="H5">
        <v>165</v>
      </c>
      <c r="I5" s="48">
        <v>81</v>
      </c>
      <c r="J5" s="96">
        <f>(H5/2000)*I5</f>
        <v>6.6825</v>
      </c>
    </row>
    <row r="6" spans="2:10" ht="12.75">
      <c r="B6" s="18" t="s">
        <v>112</v>
      </c>
      <c r="C6" s="6">
        <f>E6*(12*5280/9)</f>
        <v>338430.4</v>
      </c>
      <c r="E6" s="96">
        <f>J10</f>
        <v>48.072500000000005</v>
      </c>
      <c r="F6" t="s">
        <v>122</v>
      </c>
      <c r="G6" t="s">
        <v>124</v>
      </c>
      <c r="H6">
        <v>220</v>
      </c>
      <c r="I6" s="48">
        <v>75</v>
      </c>
      <c r="J6" s="96">
        <f>(H6/2000)*I6</f>
        <v>8.25</v>
      </c>
    </row>
    <row r="7" spans="2:10" ht="12.75">
      <c r="B7" s="18"/>
      <c r="C7" s="6"/>
      <c r="G7" t="s">
        <v>125</v>
      </c>
      <c r="H7">
        <v>440</v>
      </c>
      <c r="I7" s="48">
        <v>75</v>
      </c>
      <c r="J7" s="96">
        <f>(H7/2000)*I7</f>
        <v>16.5</v>
      </c>
    </row>
    <row r="8" spans="2:10" ht="12.75">
      <c r="B8" s="18"/>
      <c r="C8" s="6"/>
      <c r="G8" t="s">
        <v>173</v>
      </c>
      <c r="H8">
        <v>1500</v>
      </c>
      <c r="I8" s="48">
        <v>22</v>
      </c>
      <c r="J8" s="96">
        <f>(H8/2000)*I8</f>
        <v>16.5</v>
      </c>
    </row>
    <row r="9" spans="2:10" ht="12.75">
      <c r="B9" s="18"/>
      <c r="C9" s="6"/>
      <c r="G9" t="s">
        <v>126</v>
      </c>
      <c r="H9">
        <v>0.035</v>
      </c>
      <c r="I9" s="48">
        <v>2</v>
      </c>
      <c r="J9" s="96">
        <f>I9*H9*2</f>
        <v>0.14</v>
      </c>
    </row>
    <row r="10" spans="2:10" ht="12.75">
      <c r="B10" s="18" t="s">
        <v>46</v>
      </c>
      <c r="C10" s="6">
        <f>J5/9*12*5280</f>
        <v>47044.8</v>
      </c>
      <c r="E10" t="s">
        <v>133</v>
      </c>
      <c r="J10" s="96">
        <f>SUM(J5:J9)</f>
        <v>48.072500000000005</v>
      </c>
    </row>
    <row r="11" spans="2:5" ht="12.75">
      <c r="B11" s="18" t="s">
        <v>132</v>
      </c>
      <c r="C11" s="6">
        <f>(J5+J6)/9*12*5280</f>
        <v>105124.8</v>
      </c>
      <c r="E11" t="s">
        <v>133</v>
      </c>
    </row>
    <row r="12" spans="2:5" ht="12.75">
      <c r="B12" s="18" t="s">
        <v>130</v>
      </c>
      <c r="C12" s="6">
        <f>C6</f>
        <v>338430.4</v>
      </c>
      <c r="E12" t="s">
        <v>133</v>
      </c>
    </row>
    <row r="13" spans="2:5" ht="12.75">
      <c r="B13" s="18" t="s">
        <v>131</v>
      </c>
      <c r="C13" s="6">
        <f>7*366*J5</f>
        <v>17120.565</v>
      </c>
      <c r="E13" t="s">
        <v>134</v>
      </c>
    </row>
    <row r="14" spans="2:5" ht="12.75">
      <c r="B14" s="18" t="s">
        <v>208</v>
      </c>
      <c r="C14" s="6">
        <f>(J5+J6+J8/3)/9*12*5280</f>
        <v>143844.8</v>
      </c>
      <c r="E14" t="s">
        <v>212</v>
      </c>
    </row>
    <row r="15" spans="2:5" ht="12.75">
      <c r="B15" s="18" t="s">
        <v>211</v>
      </c>
      <c r="C15" s="6">
        <f>(J5+J6+J8/3)/9*450</f>
        <v>1021.625</v>
      </c>
      <c r="E15" t="s">
        <v>213</v>
      </c>
    </row>
    <row r="16" spans="2:7" ht="12.75">
      <c r="B16" s="18" t="s">
        <v>61</v>
      </c>
      <c r="C16" s="6">
        <v>180000</v>
      </c>
      <c r="G16" t="s">
        <v>103</v>
      </c>
    </row>
    <row r="17" spans="2:3" ht="12.75">
      <c r="B17" s="18" t="s">
        <v>62</v>
      </c>
      <c r="C17" s="6">
        <v>85000</v>
      </c>
    </row>
    <row r="18" spans="2:11" ht="12.75">
      <c r="B18" s="26" t="s">
        <v>117</v>
      </c>
      <c r="C18" s="58">
        <f>E18+H18+H19+E19</f>
        <v>165000</v>
      </c>
      <c r="D18" s="16"/>
      <c r="E18" s="66">
        <v>50000</v>
      </c>
      <c r="F18" s="16" t="s">
        <v>95</v>
      </c>
      <c r="G18" s="16" t="s">
        <v>96</v>
      </c>
      <c r="H18" s="60">
        <v>45000</v>
      </c>
      <c r="I18" s="16" t="s">
        <v>97</v>
      </c>
      <c r="J18" s="16"/>
      <c r="K18" s="17"/>
    </row>
    <row r="19" spans="2:11" ht="12.75">
      <c r="B19" s="22"/>
      <c r="C19" s="27"/>
      <c r="D19" s="23"/>
      <c r="E19" s="67">
        <v>25000</v>
      </c>
      <c r="F19" s="23" t="s">
        <v>113</v>
      </c>
      <c r="G19" s="23"/>
      <c r="H19" s="65">
        <v>45000</v>
      </c>
      <c r="I19" s="23" t="s">
        <v>98</v>
      </c>
      <c r="J19" s="23"/>
      <c r="K19" s="59"/>
    </row>
    <row r="20" spans="2:10" ht="12.75">
      <c r="B20" s="18"/>
      <c r="C20" s="6"/>
      <c r="E20" s="54"/>
      <c r="H20" s="54"/>
      <c r="J20" s="54"/>
    </row>
    <row r="21" spans="2:8" ht="12.75">
      <c r="B21" s="18" t="s">
        <v>63</v>
      </c>
      <c r="C21" s="6">
        <v>750000</v>
      </c>
      <c r="G21" t="s">
        <v>104</v>
      </c>
      <c r="H21" t="s">
        <v>105</v>
      </c>
    </row>
    <row r="22" spans="2:3" ht="12.75">
      <c r="B22" s="18"/>
      <c r="C22" s="6"/>
    </row>
    <row r="23" spans="2:3" ht="12.75">
      <c r="B23" s="18"/>
      <c r="C23" s="6"/>
    </row>
    <row r="24" spans="2:11" ht="12.75">
      <c r="B24" s="26" t="s">
        <v>64</v>
      </c>
      <c r="C24" s="58">
        <f>SUM(E24:E27)</f>
        <v>596000</v>
      </c>
      <c r="D24" s="16"/>
      <c r="E24" s="61">
        <v>320000</v>
      </c>
      <c r="F24" s="16" t="s">
        <v>107</v>
      </c>
      <c r="G24" s="16" t="s">
        <v>108</v>
      </c>
      <c r="H24" s="16"/>
      <c r="I24" s="16"/>
      <c r="J24" s="16"/>
      <c r="K24" s="17"/>
    </row>
    <row r="25" spans="2:11" ht="12.75">
      <c r="B25" s="18"/>
      <c r="C25" s="6"/>
      <c r="D25" s="8"/>
      <c r="E25" s="62">
        <v>36000</v>
      </c>
      <c r="F25" s="8" t="s">
        <v>109</v>
      </c>
      <c r="G25" s="9" t="s">
        <v>110</v>
      </c>
      <c r="H25" s="8"/>
      <c r="I25" s="8"/>
      <c r="J25" s="8"/>
      <c r="K25" s="20"/>
    </row>
    <row r="26" spans="2:11" ht="12.75">
      <c r="B26" s="18"/>
      <c r="C26" s="6"/>
      <c r="D26" s="8"/>
      <c r="E26" s="62">
        <v>240000</v>
      </c>
      <c r="F26" s="9" t="s">
        <v>107</v>
      </c>
      <c r="G26" s="9" t="s">
        <v>111</v>
      </c>
      <c r="H26" s="8"/>
      <c r="I26" s="8"/>
      <c r="J26" s="8"/>
      <c r="K26" s="20"/>
    </row>
    <row r="27" spans="2:11" ht="12.75">
      <c r="B27" s="22"/>
      <c r="C27" s="27"/>
      <c r="D27" s="23"/>
      <c r="E27" s="23"/>
      <c r="F27" s="23"/>
      <c r="G27" s="23"/>
      <c r="H27" s="23"/>
      <c r="I27" s="23"/>
      <c r="J27" s="23"/>
      <c r="K27" s="59"/>
    </row>
    <row r="28" spans="2:11" ht="12.75">
      <c r="B28" s="18" t="s">
        <v>70</v>
      </c>
      <c r="C28" s="6">
        <f>E28*2*5280</f>
        <v>211200</v>
      </c>
      <c r="E28">
        <v>20</v>
      </c>
      <c r="F28" t="s">
        <v>87</v>
      </c>
      <c r="G28" t="s">
        <v>88</v>
      </c>
      <c r="I28" s="8"/>
      <c r="J28" s="8"/>
      <c r="K28" s="8"/>
    </row>
    <row r="29" spans="2:3" ht="12.75">
      <c r="B29" s="18" t="s">
        <v>65</v>
      </c>
      <c r="C29" s="6">
        <v>120000</v>
      </c>
    </row>
    <row r="30" spans="2:3" ht="12.75">
      <c r="B30" s="55" t="s">
        <v>100</v>
      </c>
      <c r="C30" s="57">
        <v>38000</v>
      </c>
    </row>
    <row r="31" spans="2:6" ht="12.75">
      <c r="B31" s="55" t="s">
        <v>156</v>
      </c>
      <c r="C31" s="57">
        <f>E31*(120*5280/43560)</f>
        <v>116363.63636363635</v>
      </c>
      <c r="E31" s="56">
        <v>8000</v>
      </c>
      <c r="F31" t="s">
        <v>106</v>
      </c>
    </row>
    <row r="32" spans="2:5" ht="12.75">
      <c r="B32" s="55" t="s">
        <v>116</v>
      </c>
      <c r="C32" s="57">
        <v>38000</v>
      </c>
      <c r="E32" t="s">
        <v>149</v>
      </c>
    </row>
    <row r="33" spans="2:8" ht="12.75">
      <c r="B33" s="18" t="s">
        <v>91</v>
      </c>
      <c r="C33" s="6">
        <f>(E33/9)*4*250*10+C28</f>
        <v>255644.44444444444</v>
      </c>
      <c r="E33">
        <v>40</v>
      </c>
      <c r="F33" t="s">
        <v>89</v>
      </c>
      <c r="G33" t="s">
        <v>93</v>
      </c>
      <c r="H33" t="s">
        <v>90</v>
      </c>
    </row>
    <row r="34" spans="2:3" ht="12.75">
      <c r="B34" s="18" t="s">
        <v>129</v>
      </c>
      <c r="C34" s="6">
        <v>30000</v>
      </c>
    </row>
    <row r="35" spans="2:7" ht="12.75">
      <c r="B35" s="18" t="s">
        <v>94</v>
      </c>
      <c r="C35" s="6">
        <f>(E35/9)*5*2*(5280)</f>
        <v>187733.33333333334</v>
      </c>
      <c r="E35">
        <v>32</v>
      </c>
      <c r="F35" t="s">
        <v>89</v>
      </c>
      <c r="G35" t="s">
        <v>92</v>
      </c>
    </row>
    <row r="36" spans="2:3" ht="12.75">
      <c r="B36" s="18"/>
      <c r="C36" s="6"/>
    </row>
    <row r="37" spans="2:3" ht="12.75">
      <c r="B37" s="18"/>
      <c r="C37" s="6"/>
    </row>
    <row r="38" spans="2:3" ht="12.75">
      <c r="B38" s="18" t="s">
        <v>73</v>
      </c>
      <c r="C38" s="6">
        <v>250000</v>
      </c>
    </row>
    <row r="39" spans="2:3" ht="12.75">
      <c r="B39" s="18" t="s">
        <v>74</v>
      </c>
      <c r="C39" s="6">
        <v>100000</v>
      </c>
    </row>
    <row r="40" spans="2:3" ht="12.75">
      <c r="B40" s="18" t="s">
        <v>75</v>
      </c>
      <c r="C40" s="6">
        <v>250000</v>
      </c>
    </row>
    <row r="41" spans="2:3" ht="12.75">
      <c r="B41" s="18" t="s">
        <v>76</v>
      </c>
      <c r="C41" s="6">
        <v>600000</v>
      </c>
    </row>
    <row r="42" spans="2:3" ht="12.75">
      <c r="B42" s="18" t="s">
        <v>67</v>
      </c>
      <c r="C42" s="6">
        <v>100000</v>
      </c>
    </row>
    <row r="43" spans="2:7" ht="12.75">
      <c r="B43" s="18" t="s">
        <v>66</v>
      </c>
      <c r="C43" s="6">
        <v>40</v>
      </c>
      <c r="E43">
        <v>40</v>
      </c>
      <c r="F43" t="s">
        <v>87</v>
      </c>
      <c r="G43" t="s">
        <v>99</v>
      </c>
    </row>
    <row r="45" spans="2:3" ht="12.75">
      <c r="B45" s="18" t="s">
        <v>68</v>
      </c>
      <c r="C45" s="6">
        <v>50000</v>
      </c>
    </row>
    <row r="46" spans="2:3" ht="12.75">
      <c r="B46" s="18" t="s">
        <v>69</v>
      </c>
      <c r="C46" s="6">
        <v>100000</v>
      </c>
    </row>
    <row r="47" spans="2:3" ht="12.75">
      <c r="B47" s="18" t="s">
        <v>118</v>
      </c>
      <c r="C47" s="6">
        <v>0</v>
      </c>
    </row>
    <row r="48" spans="2:3" ht="12.75">
      <c r="B48" s="18" t="s">
        <v>118</v>
      </c>
      <c r="C48" s="6">
        <v>0</v>
      </c>
    </row>
    <row r="49" spans="2:3" ht="12.75">
      <c r="B49" s="18" t="s">
        <v>71</v>
      </c>
      <c r="C49" s="6">
        <f>C6/12*(8)</f>
        <v>225620.2666666667</v>
      </c>
    </row>
    <row r="50" spans="2:3" ht="12.75">
      <c r="B50" s="18" t="s">
        <v>72</v>
      </c>
      <c r="C50" s="6">
        <v>75000</v>
      </c>
    </row>
    <row r="51" spans="2:7" ht="12.75">
      <c r="B51" s="18" t="s">
        <v>101</v>
      </c>
      <c r="C51" s="6">
        <v>15000</v>
      </c>
      <c r="G51" t="s">
        <v>102</v>
      </c>
    </row>
    <row r="52" spans="2:3" ht="12.75">
      <c r="B52" s="18" t="s">
        <v>118</v>
      </c>
      <c r="C52" s="6"/>
    </row>
    <row r="53" spans="2:3" ht="12.75">
      <c r="B53" s="18" t="s">
        <v>48</v>
      </c>
      <c r="C53" s="6"/>
    </row>
    <row r="54" spans="2:3" ht="12.75">
      <c r="B54" s="55" t="s">
        <v>219</v>
      </c>
      <c r="C54" s="57">
        <v>22</v>
      </c>
    </row>
    <row r="55" spans="2:3" ht="12.75">
      <c r="B55" s="18" t="s">
        <v>136</v>
      </c>
      <c r="C55" s="6">
        <v>50</v>
      </c>
    </row>
    <row r="56" spans="2:3" ht="12.75">
      <c r="B56" s="18" t="s">
        <v>137</v>
      </c>
      <c r="C56" s="6">
        <v>120</v>
      </c>
    </row>
    <row r="57" spans="2:3" ht="12.75">
      <c r="B57" s="18" t="s">
        <v>138</v>
      </c>
      <c r="C57" s="6">
        <v>60</v>
      </c>
    </row>
    <row r="58" spans="2:3" ht="12.75">
      <c r="B58" s="18" t="s">
        <v>139</v>
      </c>
      <c r="C58" s="6">
        <v>85</v>
      </c>
    </row>
    <row r="59" spans="2:3" ht="12.75">
      <c r="B59" s="18" t="s">
        <v>139</v>
      </c>
      <c r="C59" s="6">
        <v>85</v>
      </c>
    </row>
    <row r="60" spans="2:3" ht="12.75">
      <c r="B60" s="18" t="s">
        <v>140</v>
      </c>
      <c r="C60" s="6">
        <v>85</v>
      </c>
    </row>
    <row r="61" spans="2:3" ht="12.75">
      <c r="B61" s="18" t="s">
        <v>140</v>
      </c>
      <c r="C61" s="6">
        <v>85</v>
      </c>
    </row>
    <row r="62" spans="2:4" ht="12.75">
      <c r="B62" s="18" t="s">
        <v>204</v>
      </c>
      <c r="C62" s="6">
        <v>4500</v>
      </c>
      <c r="D62" t="s">
        <v>205</v>
      </c>
    </row>
    <row r="63" spans="2:3" ht="12.75">
      <c r="B63" s="18" t="s">
        <v>141</v>
      </c>
      <c r="C63" s="6">
        <v>40</v>
      </c>
    </row>
    <row r="64" spans="2:3" ht="12.75">
      <c r="B64" s="18" t="s">
        <v>154</v>
      </c>
      <c r="C64" s="6">
        <v>15</v>
      </c>
    </row>
    <row r="65" spans="2:3" ht="12.75">
      <c r="B65" s="18" t="s">
        <v>158</v>
      </c>
      <c r="C65" s="6">
        <v>15000</v>
      </c>
    </row>
    <row r="66" spans="2:3" ht="12.75">
      <c r="B66" s="18" t="s">
        <v>142</v>
      </c>
      <c r="C66" s="6">
        <v>80</v>
      </c>
    </row>
    <row r="67" spans="2:3" ht="12.75">
      <c r="B67" s="18" t="s">
        <v>142</v>
      </c>
      <c r="C67" s="6">
        <v>80</v>
      </c>
    </row>
    <row r="68" spans="2:3" ht="12.75">
      <c r="B68" s="18" t="s">
        <v>143</v>
      </c>
      <c r="C68" s="6">
        <v>60</v>
      </c>
    </row>
    <row r="69" spans="2:3" ht="12.75">
      <c r="B69" s="18" t="s">
        <v>144</v>
      </c>
      <c r="C69" s="6">
        <v>100</v>
      </c>
    </row>
    <row r="70" spans="2:3" ht="12.75">
      <c r="B70" s="18" t="s">
        <v>145</v>
      </c>
      <c r="C70" s="6">
        <v>20000</v>
      </c>
    </row>
    <row r="71" spans="2:3" ht="12.75">
      <c r="B71" s="18" t="s">
        <v>135</v>
      </c>
      <c r="C71" s="6">
        <v>20</v>
      </c>
    </row>
    <row r="72" spans="2:3" ht="12.75">
      <c r="B72" s="18" t="s">
        <v>36</v>
      </c>
      <c r="C72" s="6">
        <v>0</v>
      </c>
    </row>
    <row r="73" spans="2:3" ht="12.75">
      <c r="B73" s="18" t="s">
        <v>146</v>
      </c>
      <c r="C73" s="6">
        <v>160000</v>
      </c>
    </row>
    <row r="76" spans="2:7" ht="12.75">
      <c r="B76" s="18" t="s">
        <v>21</v>
      </c>
      <c r="C76" s="6">
        <v>750000</v>
      </c>
      <c r="F76" t="s">
        <v>148</v>
      </c>
      <c r="G76">
        <v>1.65</v>
      </c>
    </row>
    <row r="77" spans="2:3" ht="12.75">
      <c r="B77" s="18"/>
      <c r="C77" s="6">
        <v>750000</v>
      </c>
    </row>
    <row r="78" spans="2:3" ht="12.75">
      <c r="B78" s="18" t="s">
        <v>22</v>
      </c>
      <c r="C78" s="6">
        <v>1000000</v>
      </c>
    </row>
    <row r="79" spans="2:3" ht="12.75">
      <c r="B79" s="18"/>
      <c r="C79" s="6">
        <v>1000000</v>
      </c>
    </row>
    <row r="80" spans="2:3" ht="12.75">
      <c r="B80" s="18" t="s">
        <v>23</v>
      </c>
      <c r="C80" s="6">
        <v>500000</v>
      </c>
    </row>
    <row r="81" spans="2:3" ht="15.75" customHeight="1">
      <c r="B81" s="18"/>
      <c r="C81" s="6">
        <v>500000</v>
      </c>
    </row>
    <row r="82" spans="2:3" ht="12.75">
      <c r="B82" s="18" t="s">
        <v>24</v>
      </c>
      <c r="C82" s="6">
        <v>750000</v>
      </c>
    </row>
    <row r="83" spans="2:3" ht="12.75">
      <c r="B83" s="18"/>
      <c r="C83" s="6">
        <v>750000</v>
      </c>
    </row>
    <row r="84" spans="2:3" ht="12.75">
      <c r="B84" s="18" t="s">
        <v>40</v>
      </c>
      <c r="C84" s="6"/>
    </row>
    <row r="85" spans="2:3" ht="12.75">
      <c r="B85" s="35" t="s">
        <v>41</v>
      </c>
      <c r="C85" s="6">
        <v>200000</v>
      </c>
    </row>
    <row r="86" spans="2:3" ht="12.75">
      <c r="B86" s="35" t="s">
        <v>42</v>
      </c>
      <c r="C86" s="6">
        <v>800000</v>
      </c>
    </row>
    <row r="87" spans="2:3" ht="12.75">
      <c r="B87" s="35" t="s">
        <v>86</v>
      </c>
      <c r="C87" s="6">
        <v>0</v>
      </c>
    </row>
  </sheetData>
  <printOptions/>
  <pageMargins left="0.75" right="0.75" top="1" bottom="1" header="0.5" footer="0.5"/>
  <pageSetup fitToHeight="1" fitToWidth="1" horizontalDpi="600" verticalDpi="600" orientation="portrait" paperSize="17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4">
      <selection activeCell="H7" sqref="H7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4.00390625" style="0" bestFit="1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166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/>
    </row>
    <row r="5" spans="2:5" ht="12.75">
      <c r="B5" s="4" t="s">
        <v>4</v>
      </c>
      <c r="C5" s="148">
        <v>1</v>
      </c>
      <c r="D5" s="149"/>
      <c r="E5" s="149"/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172</v>
      </c>
      <c r="G7" s="99"/>
      <c r="H7" s="108">
        <f>ROUND(I10+I11+I13,-4)</f>
        <v>2840000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171</v>
      </c>
    </row>
    <row r="10" spans="2:9" ht="12.75">
      <c r="B10" s="13" t="s">
        <v>26</v>
      </c>
      <c r="C10" s="84">
        <f>H110+(H113*H111)</f>
        <v>487396.5441100001</v>
      </c>
      <c r="D10" s="85">
        <f>C10/$C$7</f>
        <v>487396.5441100001</v>
      </c>
      <c r="E10" s="83">
        <v>2006</v>
      </c>
      <c r="F10" s="86">
        <f>C10*(1+Database!H$3)^(E10-2005)</f>
        <v>506892.4058744001</v>
      </c>
      <c r="G10" s="150">
        <f>F10*(1+Database!C$3)</f>
        <v>506892.4058744001</v>
      </c>
      <c r="H10" s="151"/>
      <c r="I10" s="100">
        <f>G10/E$17</f>
        <v>253446.20293720005</v>
      </c>
    </row>
    <row r="11" spans="2:9" ht="12.75">
      <c r="B11" s="13" t="s">
        <v>82</v>
      </c>
      <c r="C11" s="84">
        <f>H107+(H108*H113)</f>
        <v>97479.308822</v>
      </c>
      <c r="D11" s="85">
        <f>C11/$C$7</f>
        <v>97479.308822</v>
      </c>
      <c r="E11" s="83">
        <v>2006</v>
      </c>
      <c r="F11" s="86">
        <f>C11*(1+Database!H$3)^(E11-2005)</f>
        <v>101378.48117488001</v>
      </c>
      <c r="G11" s="150">
        <f>F11*(1+Database!C$3)</f>
        <v>101378.48117488001</v>
      </c>
      <c r="H11" s="151"/>
      <c r="I11" s="100">
        <f>G11/E$17</f>
        <v>50689.24058744001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2006</v>
      </c>
      <c r="F12" s="86">
        <f>C12*(1+Database!H$3)^(E12-2005)</f>
        <v>0</v>
      </c>
      <c r="G12" s="150">
        <f>F12*(1+Database!C$3)</f>
        <v>0</v>
      </c>
      <c r="H12" s="151"/>
      <c r="I12" s="100">
        <f>G12/E$17</f>
        <v>0</v>
      </c>
    </row>
    <row r="13" spans="2:9" ht="12.75">
      <c r="B13" s="13" t="s">
        <v>34</v>
      </c>
      <c r="C13" s="84">
        <f>H84+(H113*H85)</f>
        <v>4873965.4411</v>
      </c>
      <c r="D13" s="85">
        <f>C13/$C$7</f>
        <v>4873965.4411</v>
      </c>
      <c r="E13" s="83">
        <v>2006</v>
      </c>
      <c r="F13" s="86">
        <f>C13*(1+Database!H$3)^(E13-2005)</f>
        <v>5068924.058744</v>
      </c>
      <c r="G13" s="150">
        <f>F13*(1+Database!C$3)</f>
        <v>5068924.058744</v>
      </c>
      <c r="H13" s="151"/>
      <c r="I13" s="100">
        <f>G13/E$17</f>
        <v>2534462.029372</v>
      </c>
    </row>
    <row r="14" spans="2:9" ht="13.5" thickBot="1">
      <c r="B14" s="14" t="s">
        <v>35</v>
      </c>
      <c r="C14" s="89">
        <f>SUM(C10:C13)</f>
        <v>5458841.294032</v>
      </c>
      <c r="D14" s="90">
        <f>C14/$C$7</f>
        <v>5458841.294032</v>
      </c>
      <c r="E14" s="91" t="s">
        <v>35</v>
      </c>
      <c r="F14" s="89">
        <f>SUM(F10:F13)</f>
        <v>5677194.94579328</v>
      </c>
      <c r="G14" s="152">
        <f>F14*(1+Database!C$3)</f>
        <v>5677194.94579328</v>
      </c>
      <c r="H14" s="153"/>
      <c r="I14" s="100">
        <f>G14/E$17</f>
        <v>2838597.47289664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1</v>
      </c>
      <c r="E17" s="37">
        <v>2</v>
      </c>
      <c r="F17" s="8">
        <f>D17*E17</f>
        <v>2</v>
      </c>
      <c r="G17" s="8"/>
      <c r="H17" s="19">
        <f>C17*F17</f>
        <v>676860.8</v>
      </c>
      <c r="I17" s="40" t="s">
        <v>36</v>
      </c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1</v>
      </c>
      <c r="E19" s="37">
        <v>2</v>
      </c>
      <c r="F19" s="8">
        <f>D19*E19</f>
        <v>2</v>
      </c>
      <c r="G19" s="8"/>
      <c r="H19" s="19">
        <f>C19*F19</f>
        <v>94089.6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</v>
      </c>
      <c r="E21" s="7">
        <v>0</v>
      </c>
      <c r="F21" s="8">
        <f>D21*E21</f>
        <v>0</v>
      </c>
      <c r="G21" s="8"/>
      <c r="H21" s="19">
        <f>C21*F21</f>
        <v>0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0.001</v>
      </c>
      <c r="I23" s="101">
        <f>(H25+H27+H28+H43+H47+H48+H57)/H84</f>
        <v>0.5348827420925719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1</v>
      </c>
      <c r="E24" s="37">
        <v>0</v>
      </c>
      <c r="F24" s="8"/>
      <c r="G24" s="8"/>
      <c r="H24" s="19">
        <f aca="true" t="shared" si="0" ref="H24:H39"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3</v>
      </c>
      <c r="F25" s="8"/>
      <c r="G25" s="8"/>
      <c r="H25" s="19">
        <f t="shared" si="0"/>
        <v>540000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1</v>
      </c>
      <c r="E26" s="37">
        <v>0</v>
      </c>
      <c r="F26" s="8"/>
      <c r="G26" s="8"/>
      <c r="H26" s="19">
        <f t="shared" si="0"/>
        <v>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1</v>
      </c>
      <c r="E27" s="37">
        <v>2</v>
      </c>
      <c r="F27" s="8"/>
      <c r="G27" s="8"/>
      <c r="H27" s="19">
        <f t="shared" si="0"/>
        <v>330000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1</v>
      </c>
      <c r="E28" s="37">
        <v>2</v>
      </c>
      <c r="F28" s="8"/>
      <c r="G28" s="8"/>
      <c r="H28" s="19">
        <f t="shared" si="0"/>
        <v>1500000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1</v>
      </c>
      <c r="E29" s="37">
        <v>1</v>
      </c>
      <c r="F29" s="8"/>
      <c r="G29" s="8"/>
      <c r="H29" s="19">
        <f t="shared" si="0"/>
        <v>596000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1</v>
      </c>
      <c r="E30" s="37">
        <v>1</v>
      </c>
      <c r="F30" s="8"/>
      <c r="G30" s="8"/>
      <c r="H30" s="19">
        <f t="shared" si="0"/>
        <v>211200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</v>
      </c>
      <c r="E31" s="37">
        <v>2</v>
      </c>
      <c r="F31" s="8"/>
      <c r="G31" s="8"/>
      <c r="H31" s="19">
        <f t="shared" si="0"/>
        <v>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1</v>
      </c>
      <c r="E32" s="37">
        <v>3</v>
      </c>
      <c r="F32" s="8"/>
      <c r="G32" s="8"/>
      <c r="H32" s="19">
        <f t="shared" si="0"/>
        <v>114000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1</v>
      </c>
      <c r="E33" s="37">
        <v>2</v>
      </c>
      <c r="F33" s="8" t="s">
        <v>36</v>
      </c>
      <c r="G33" s="8"/>
      <c r="H33" s="19">
        <f t="shared" si="0"/>
        <v>232727.2727272727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1</v>
      </c>
      <c r="E34" s="37">
        <v>2</v>
      </c>
      <c r="F34" s="8"/>
      <c r="G34" s="8"/>
      <c r="H34" s="19">
        <f t="shared" si="0"/>
        <v>76000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</v>
      </c>
      <c r="E35" s="37">
        <v>1</v>
      </c>
      <c r="F35" s="8"/>
      <c r="G35" s="8"/>
      <c r="H35" s="19">
        <f t="shared" si="0"/>
        <v>0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1</v>
      </c>
      <c r="E36" s="37">
        <v>2</v>
      </c>
      <c r="F36" s="8"/>
      <c r="G36" s="8"/>
      <c r="H36" s="19">
        <f t="shared" si="0"/>
        <v>60000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</v>
      </c>
      <c r="E37" s="37">
        <v>1.5</v>
      </c>
      <c r="F37" s="8"/>
      <c r="G37" s="8"/>
      <c r="H37" s="19">
        <f t="shared" si="0"/>
        <v>0</v>
      </c>
      <c r="I37" s="40" t="s">
        <v>36</v>
      </c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4430877.673727273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36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161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0</v>
      </c>
      <c r="F67" s="8"/>
      <c r="G67" s="8"/>
      <c r="H67" s="19">
        <f aca="true" t="shared" si="2" ref="H67:H72">C67*D67*E67</f>
        <v>0</v>
      </c>
      <c r="I67" s="40" t="s">
        <v>57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51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49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56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0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0</v>
      </c>
      <c r="E81" s="8"/>
      <c r="F81" s="8"/>
      <c r="G81" s="8"/>
      <c r="H81" s="19">
        <f>C81*D81</f>
        <v>0</v>
      </c>
      <c r="I81" s="40"/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4430877.673727273</v>
      </c>
      <c r="I84" s="68" t="s">
        <v>36</v>
      </c>
      <c r="J84" t="s">
        <v>36</v>
      </c>
    </row>
    <row r="85" spans="8:9" ht="12.75">
      <c r="H85" s="52">
        <f>H84/$H$114</f>
        <v>0.8928571428571428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12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 t="s">
        <v>159</v>
      </c>
    </row>
    <row r="89" spans="2:9" ht="12.75">
      <c r="B89" s="18"/>
      <c r="C89" s="6">
        <f>Database!C77</f>
        <v>750000</v>
      </c>
      <c r="D89" s="7">
        <v>0</v>
      </c>
      <c r="E89" s="7">
        <v>18</v>
      </c>
      <c r="F89" s="42">
        <f t="shared" si="3"/>
        <v>0</v>
      </c>
      <c r="G89" s="8"/>
      <c r="H89" s="19">
        <f t="shared" si="4"/>
        <v>0</v>
      </c>
      <c r="I89" s="40" t="s">
        <v>160</v>
      </c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12</v>
      </c>
      <c r="F90" s="42">
        <f t="shared" si="3"/>
        <v>0</v>
      </c>
      <c r="G90" s="8"/>
      <c r="H90" s="19">
        <f t="shared" si="4"/>
        <v>0</v>
      </c>
      <c r="I90" s="40" t="s">
        <v>159</v>
      </c>
    </row>
    <row r="91" spans="2:9" ht="12.75">
      <c r="B91" s="18"/>
      <c r="C91" s="6">
        <f>Database!C79</f>
        <v>1000000</v>
      </c>
      <c r="D91" s="7">
        <v>0</v>
      </c>
      <c r="E91" s="7">
        <v>18</v>
      </c>
      <c r="F91" s="42">
        <f t="shared" si="3"/>
        <v>0</v>
      </c>
      <c r="G91" s="8"/>
      <c r="H91" s="19">
        <f t="shared" si="4"/>
        <v>0</v>
      </c>
      <c r="I91" s="40" t="s">
        <v>160</v>
      </c>
    </row>
    <row r="92" spans="2:9" ht="12.75">
      <c r="B92" s="18" t="s">
        <v>23</v>
      </c>
      <c r="C92" s="6">
        <f>Database!C80</f>
        <v>500000</v>
      </c>
      <c r="D92" s="7">
        <v>0</v>
      </c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37">
        <v>1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88617.55347454546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88617.55347454546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0.017857142857142856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443087.76737272734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496258.2994574546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4962582.994574546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5458841.294032</v>
      </c>
      <c r="I115" s="68" t="s">
        <v>36</v>
      </c>
      <c r="J115" t="s">
        <v>36</v>
      </c>
    </row>
  </sheetData>
  <mergeCells count="11">
    <mergeCell ref="C6:H6"/>
    <mergeCell ref="C2:H2"/>
    <mergeCell ref="C3:E3"/>
    <mergeCell ref="C4:E4"/>
    <mergeCell ref="C5:E5"/>
    <mergeCell ref="G13:H13"/>
    <mergeCell ref="G14:H14"/>
    <mergeCell ref="G9:H9"/>
    <mergeCell ref="G10:H10"/>
    <mergeCell ref="G11:H11"/>
    <mergeCell ref="G12:H12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7">
      <selection activeCell="B7" sqref="B7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4.00390625" style="0" bestFit="1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189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/>
    </row>
    <row r="5" spans="2:5" ht="12.75">
      <c r="B5" s="4" t="s">
        <v>4</v>
      </c>
      <c r="C5" s="148">
        <v>1</v>
      </c>
      <c r="D5" s="149"/>
      <c r="E5" s="149"/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172</v>
      </c>
      <c r="G7" s="99"/>
      <c r="H7" s="108">
        <f>ROUND(I10+I11+I13,-4)</f>
        <v>2100000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171</v>
      </c>
    </row>
    <row r="10" spans="2:9" ht="12.75">
      <c r="B10" s="13" t="s">
        <v>26</v>
      </c>
      <c r="C10" s="84">
        <f>H110+(H113*H111)</f>
        <v>361424.5441100001</v>
      </c>
      <c r="D10" s="85">
        <f>C10/$C$7</f>
        <v>361424.5441100001</v>
      </c>
      <c r="E10" s="83">
        <v>2006</v>
      </c>
      <c r="F10" s="86">
        <f>C10*(1+Database!H$3)^(E10-2005)</f>
        <v>375881.5258744001</v>
      </c>
      <c r="G10" s="150">
        <f>F10*(1+Database!C$3)</f>
        <v>375881.5258744001</v>
      </c>
      <c r="H10" s="151"/>
      <c r="I10" s="100">
        <f>G10/E$17</f>
        <v>187940.76293720005</v>
      </c>
    </row>
    <row r="11" spans="2:9" ht="12.75">
      <c r="B11" s="13" t="s">
        <v>82</v>
      </c>
      <c r="C11" s="84">
        <f>H107+(H108*H113)</f>
        <v>72284.90882200001</v>
      </c>
      <c r="D11" s="85">
        <f>C11/$C$7</f>
        <v>72284.90882200001</v>
      </c>
      <c r="E11" s="83">
        <v>2006</v>
      </c>
      <c r="F11" s="86">
        <f>C11*(1+Database!H$3)^(E11-2005)</f>
        <v>75176.30517488002</v>
      </c>
      <c r="G11" s="150">
        <f>F11*(1+Database!C$3)</f>
        <v>75176.30517488002</v>
      </c>
      <c r="H11" s="151"/>
      <c r="I11" s="100">
        <f>G11/E$17</f>
        <v>37588.15258744001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2006</v>
      </c>
      <c r="F12" s="86">
        <f>C12*(1+Database!H$3)^(E12-2005)</f>
        <v>0</v>
      </c>
      <c r="G12" s="150">
        <f>F12*(1+Database!C$3)</f>
        <v>0</v>
      </c>
      <c r="H12" s="151"/>
      <c r="I12" s="100">
        <f>G12/E$17</f>
        <v>0</v>
      </c>
    </row>
    <row r="13" spans="2:9" ht="12.75">
      <c r="B13" s="13" t="s">
        <v>34</v>
      </c>
      <c r="C13" s="84">
        <f>H84+(H113*H85)</f>
        <v>3614245.4411000004</v>
      </c>
      <c r="D13" s="85">
        <f>C13/$C$7</f>
        <v>3614245.4411000004</v>
      </c>
      <c r="E13" s="83">
        <v>2006</v>
      </c>
      <c r="F13" s="86">
        <f>C13*(1+Database!H$3)^(E13-2005)</f>
        <v>3758815.2587440005</v>
      </c>
      <c r="G13" s="150">
        <f>F13*(1+Database!C$3)</f>
        <v>3758815.2587440005</v>
      </c>
      <c r="H13" s="151"/>
      <c r="I13" s="100">
        <f>G13/E$17</f>
        <v>1879407.6293720002</v>
      </c>
    </row>
    <row r="14" spans="2:9" ht="13.5" thickBot="1">
      <c r="B14" s="14" t="s">
        <v>35</v>
      </c>
      <c r="C14" s="89">
        <f>SUM(C10:C13)</f>
        <v>4047954.8940320006</v>
      </c>
      <c r="D14" s="90">
        <f>C14/$C$7</f>
        <v>4047954.8940320006</v>
      </c>
      <c r="E14" s="91" t="s">
        <v>35</v>
      </c>
      <c r="F14" s="89">
        <f>SUM(F10:F13)</f>
        <v>4209873.089793281</v>
      </c>
      <c r="G14" s="152">
        <f>F14*(1+Database!C$3)</f>
        <v>4209873.089793281</v>
      </c>
      <c r="H14" s="153"/>
      <c r="I14" s="100">
        <f>G14/E$17</f>
        <v>2104936.5448966403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1</v>
      </c>
      <c r="E17" s="37">
        <v>2</v>
      </c>
      <c r="F17" s="8">
        <f>D17*E17</f>
        <v>2</v>
      </c>
      <c r="G17" s="8"/>
      <c r="H17" s="19">
        <f>C17*F17</f>
        <v>676860.8</v>
      </c>
      <c r="I17" s="40" t="s">
        <v>36</v>
      </c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1</v>
      </c>
      <c r="E19" s="37">
        <v>2</v>
      </c>
      <c r="F19" s="8">
        <f>D19*E19</f>
        <v>2</v>
      </c>
      <c r="G19" s="8"/>
      <c r="H19" s="19">
        <f>C19*F19</f>
        <v>94089.6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</v>
      </c>
      <c r="E21" s="7">
        <v>0</v>
      </c>
      <c r="F21" s="8">
        <f>D21*E21</f>
        <v>0</v>
      </c>
      <c r="G21" s="8"/>
      <c r="H21" s="19">
        <f>C21*F21</f>
        <v>0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0.001</v>
      </c>
      <c r="I23" s="101">
        <f>(H25+H27+H28+H43+H47+H48+H57)/H84</f>
        <v>0.5569627278515266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1</v>
      </c>
      <c r="E24" s="37">
        <v>0</v>
      </c>
      <c r="F24" s="8"/>
      <c r="G24" s="8"/>
      <c r="H24" s="19">
        <f aca="true" t="shared" si="0" ref="H24:H39">C24*D24*E24</f>
        <v>0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0</v>
      </c>
      <c r="F25" s="8"/>
      <c r="G25" s="8"/>
      <c r="H25" s="19">
        <f t="shared" si="0"/>
        <v>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1</v>
      </c>
      <c r="E26" s="37">
        <v>0</v>
      </c>
      <c r="F26" s="8"/>
      <c r="G26" s="8"/>
      <c r="H26" s="19">
        <f t="shared" si="0"/>
        <v>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1</v>
      </c>
      <c r="E27" s="37">
        <v>2</v>
      </c>
      <c r="F27" s="8"/>
      <c r="G27" s="8"/>
      <c r="H27" s="19">
        <f t="shared" si="0"/>
        <v>330000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1</v>
      </c>
      <c r="E28" s="37">
        <v>2</v>
      </c>
      <c r="F28" s="8"/>
      <c r="G28" s="8"/>
      <c r="H28" s="19">
        <f t="shared" si="0"/>
        <v>1500000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</v>
      </c>
      <c r="E29" s="37">
        <v>1</v>
      </c>
      <c r="F29" s="8"/>
      <c r="G29" s="8"/>
      <c r="H29" s="19">
        <f t="shared" si="0"/>
        <v>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</v>
      </c>
      <c r="E30" s="37">
        <v>1</v>
      </c>
      <c r="F30" s="8"/>
      <c r="G30" s="8"/>
      <c r="H30" s="19">
        <f t="shared" si="0"/>
        <v>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1</v>
      </c>
      <c r="E31" s="37">
        <v>2</v>
      </c>
      <c r="F31" s="8"/>
      <c r="G31" s="8"/>
      <c r="H31" s="19">
        <f t="shared" si="0"/>
        <v>240000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1</v>
      </c>
      <c r="E32" s="37">
        <v>2</v>
      </c>
      <c r="F32" s="8"/>
      <c r="G32" s="8"/>
      <c r="H32" s="19">
        <f t="shared" si="0"/>
        <v>76000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1</v>
      </c>
      <c r="E33" s="37">
        <v>2</v>
      </c>
      <c r="F33" s="8" t="s">
        <v>36</v>
      </c>
      <c r="G33" s="8"/>
      <c r="H33" s="19">
        <f t="shared" si="0"/>
        <v>232727.2727272727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1</v>
      </c>
      <c r="E34" s="37">
        <v>2</v>
      </c>
      <c r="F34" s="8"/>
      <c r="G34" s="8"/>
      <c r="H34" s="19">
        <f t="shared" si="0"/>
        <v>76000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</v>
      </c>
      <c r="E35" s="37">
        <v>1</v>
      </c>
      <c r="F35" s="8"/>
      <c r="G35" s="8"/>
      <c r="H35" s="19">
        <f t="shared" si="0"/>
        <v>0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1</v>
      </c>
      <c r="E36" s="37">
        <v>2</v>
      </c>
      <c r="F36" s="8"/>
      <c r="G36" s="8"/>
      <c r="H36" s="19">
        <f t="shared" si="0"/>
        <v>60000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</v>
      </c>
      <c r="E37" s="37">
        <v>1.5</v>
      </c>
      <c r="F37" s="8"/>
      <c r="G37" s="8"/>
      <c r="H37" s="19">
        <f t="shared" si="0"/>
        <v>0</v>
      </c>
      <c r="I37" s="40" t="s">
        <v>36</v>
      </c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3285677.673727273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36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161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0</v>
      </c>
      <c r="F67" s="8"/>
      <c r="G67" s="8"/>
      <c r="H67" s="19">
        <f aca="true" t="shared" si="2" ref="H67:H72">C67*D67*E67</f>
        <v>0</v>
      </c>
      <c r="I67" s="40" t="s">
        <v>57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51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49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56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0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0</v>
      </c>
      <c r="E81" s="8"/>
      <c r="F81" s="8"/>
      <c r="G81" s="8"/>
      <c r="H81" s="19">
        <f>C81*D81</f>
        <v>0</v>
      </c>
      <c r="I81" s="40"/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3285677.673727273</v>
      </c>
      <c r="I84" s="68" t="s">
        <v>36</v>
      </c>
      <c r="J84" t="s">
        <v>36</v>
      </c>
    </row>
    <row r="85" spans="8:9" ht="12.75">
      <c r="H85" s="52">
        <f>H84/$H$114</f>
        <v>0.8928571428571428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12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 t="s">
        <v>159</v>
      </c>
    </row>
    <row r="89" spans="2:9" ht="12.75">
      <c r="B89" s="18"/>
      <c r="C89" s="6">
        <f>Database!C77</f>
        <v>750000</v>
      </c>
      <c r="D89" s="7">
        <v>0</v>
      </c>
      <c r="E89" s="7">
        <v>18</v>
      </c>
      <c r="F89" s="42">
        <f t="shared" si="3"/>
        <v>0</v>
      </c>
      <c r="G89" s="8"/>
      <c r="H89" s="19">
        <f t="shared" si="4"/>
        <v>0</v>
      </c>
      <c r="I89" s="40" t="s">
        <v>160</v>
      </c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12</v>
      </c>
      <c r="F90" s="42">
        <f t="shared" si="3"/>
        <v>0</v>
      </c>
      <c r="G90" s="8"/>
      <c r="H90" s="19">
        <f t="shared" si="4"/>
        <v>0</v>
      </c>
      <c r="I90" s="40" t="s">
        <v>159</v>
      </c>
    </row>
    <row r="91" spans="2:9" ht="12.75">
      <c r="B91" s="18"/>
      <c r="C91" s="6">
        <f>Database!C79</f>
        <v>1000000</v>
      </c>
      <c r="D91" s="7">
        <v>0</v>
      </c>
      <c r="E91" s="7">
        <v>18</v>
      </c>
      <c r="F91" s="42">
        <f t="shared" si="3"/>
        <v>0</v>
      </c>
      <c r="G91" s="8"/>
      <c r="H91" s="19">
        <f t="shared" si="4"/>
        <v>0</v>
      </c>
      <c r="I91" s="40" t="s">
        <v>160</v>
      </c>
    </row>
    <row r="92" spans="2:9" ht="12.75">
      <c r="B92" s="18" t="s">
        <v>23</v>
      </c>
      <c r="C92" s="6">
        <f>Database!C80</f>
        <v>500000</v>
      </c>
      <c r="D92" s="7">
        <v>0</v>
      </c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37">
        <v>1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65713.55347454546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65713.55347454546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0.017857142857142856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328567.76737272734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367995.8994574546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3679958.994574546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4047954.8940320006</v>
      </c>
      <c r="I115" s="68" t="s">
        <v>36</v>
      </c>
      <c r="J115" t="s">
        <v>36</v>
      </c>
    </row>
  </sheetData>
  <mergeCells count="11">
    <mergeCell ref="C6:H6"/>
    <mergeCell ref="C2:H2"/>
    <mergeCell ref="C3:E3"/>
    <mergeCell ref="C4:E4"/>
    <mergeCell ref="C5:E5"/>
    <mergeCell ref="G13:H13"/>
    <mergeCell ref="G14:H14"/>
    <mergeCell ref="G9:H9"/>
    <mergeCell ref="G10:H10"/>
    <mergeCell ref="G11:H11"/>
    <mergeCell ref="G12:H12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C3" sqref="C3:E3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14062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236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5" ht="12.75">
      <c r="B5" s="4" t="s">
        <v>4</v>
      </c>
      <c r="C5" s="148">
        <v>1</v>
      </c>
      <c r="D5" s="149"/>
      <c r="E5" s="149"/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172</v>
      </c>
      <c r="G7" s="99"/>
      <c r="H7" s="108">
        <f>ROUND(I10+I11+I13,-4)</f>
        <v>4250000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171</v>
      </c>
    </row>
    <row r="10" spans="2:9" ht="12.75">
      <c r="B10" s="13" t="s">
        <v>26</v>
      </c>
      <c r="C10" s="84">
        <f>H110+(H113*H111)</f>
        <v>730125.950161</v>
      </c>
      <c r="D10" s="85">
        <f>C10/$C$7</f>
        <v>730125.950161</v>
      </c>
      <c r="E10" s="83">
        <v>2006</v>
      </c>
      <c r="F10" s="86">
        <f>C10*(1+Database!H$3)^(E10-2005)</f>
        <v>759330.98816744</v>
      </c>
      <c r="G10" s="150">
        <f>F10*(1+Database!C$3)</f>
        <v>759330.98816744</v>
      </c>
      <c r="H10" s="151"/>
      <c r="I10" s="98">
        <f>G10/E$17</f>
        <v>379665.49408372</v>
      </c>
    </row>
    <row r="11" spans="2:9" ht="12.75">
      <c r="B11" s="13" t="s">
        <v>82</v>
      </c>
      <c r="C11" s="84">
        <f>H107+(H108*H113)</f>
        <v>146025.1900322</v>
      </c>
      <c r="D11" s="85">
        <f>C11/$C$7</f>
        <v>146025.1900322</v>
      </c>
      <c r="E11" s="83">
        <v>2006</v>
      </c>
      <c r="F11" s="86">
        <f>C11*(1+Database!H$3)^(E11-2005)</f>
        <v>151866.197633488</v>
      </c>
      <c r="G11" s="150">
        <f>F11*(1+Database!C$3)</f>
        <v>151866.197633488</v>
      </c>
      <c r="H11" s="151"/>
      <c r="I11" s="98">
        <f>G11/E$17</f>
        <v>75933.098816744</v>
      </c>
    </row>
    <row r="12" spans="2:9" ht="12.75">
      <c r="B12" s="13" t="s">
        <v>33</v>
      </c>
      <c r="C12" s="84">
        <f>H101+(H113*H102)</f>
        <v>5015999.999999999</v>
      </c>
      <c r="D12" s="85">
        <f>C12/$C$7</f>
        <v>5015999.999999999</v>
      </c>
      <c r="E12" s="83">
        <v>2006</v>
      </c>
      <c r="F12" s="86">
        <f>C12*(1+Database!H$3)^(E12-2005)</f>
        <v>5216639.999999999</v>
      </c>
      <c r="G12" s="150">
        <f>F12*(1+Database!C$3)</f>
        <v>5216639.999999999</v>
      </c>
      <c r="H12" s="151"/>
      <c r="I12" s="98">
        <f>G12/E$17</f>
        <v>2608319.9999999995</v>
      </c>
    </row>
    <row r="13" spans="2:9" ht="12.75">
      <c r="B13" s="13" t="s">
        <v>34</v>
      </c>
      <c r="C13" s="84">
        <f>H84+(H113*H85)</f>
        <v>7301259.50161</v>
      </c>
      <c r="D13" s="85">
        <f>C13/$C$7</f>
        <v>7301259.50161</v>
      </c>
      <c r="E13" s="83">
        <v>2006</v>
      </c>
      <c r="F13" s="86">
        <f>C13*(1+Database!H$3)^(E13-2005)</f>
        <v>7593309.8816744</v>
      </c>
      <c r="G13" s="150">
        <f>F13*(1+Database!C$3)</f>
        <v>7593309.8816744</v>
      </c>
      <c r="H13" s="151"/>
      <c r="I13" s="98">
        <f>G13/E$17</f>
        <v>3796654.9408372</v>
      </c>
    </row>
    <row r="14" spans="2:9" ht="13.5" thickBot="1">
      <c r="B14" s="14" t="s">
        <v>35</v>
      </c>
      <c r="C14" s="89">
        <f>SUM(C10:C13)</f>
        <v>13193410.641803198</v>
      </c>
      <c r="D14" s="90">
        <f>C14/$C$7</f>
        <v>13193410.641803198</v>
      </c>
      <c r="E14" s="91" t="s">
        <v>35</v>
      </c>
      <c r="F14" s="89">
        <f>SUM(F10:F13)</f>
        <v>13721147.067475326</v>
      </c>
      <c r="G14" s="152">
        <f>F14*(1+Database!C$3)</f>
        <v>13721147.067475326</v>
      </c>
      <c r="H14" s="153"/>
      <c r="I14" s="98">
        <f>G14/E$17</f>
        <v>6860573.533737663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1</v>
      </c>
      <c r="E17" s="7">
        <v>2</v>
      </c>
      <c r="F17" s="8">
        <f>D17*E17</f>
        <v>2</v>
      </c>
      <c r="G17" s="8"/>
      <c r="H17" s="19">
        <f>C17*F17</f>
        <v>676860.8</v>
      </c>
      <c r="I17" s="40"/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1</v>
      </c>
      <c r="E18" s="7">
        <v>0</v>
      </c>
      <c r="F18" s="8">
        <f>D18*E18</f>
        <v>0</v>
      </c>
      <c r="G18" s="8"/>
      <c r="H18" s="19">
        <f>C18*F18</f>
        <v>0</v>
      </c>
      <c r="I18" s="40" t="s">
        <v>175</v>
      </c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</v>
      </c>
      <c r="E21" s="7">
        <v>0</v>
      </c>
      <c r="F21" s="8">
        <f>D21*E21</f>
        <v>0</v>
      </c>
      <c r="G21" s="8"/>
      <c r="H21" s="19">
        <f>C21*F21</f>
        <v>0</v>
      </c>
      <c r="I21" s="40" t="s">
        <v>36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95">
        <f>(H25+H27+H28+H43+H47+H48+H57)/H84</f>
        <v>0.19209014550033934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1</v>
      </c>
      <c r="E24" s="37">
        <v>1</v>
      </c>
      <c r="F24" s="8"/>
      <c r="G24" s="8"/>
      <c r="H24" s="19">
        <f>C24*D24*E24</f>
        <v>17120.565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2</v>
      </c>
      <c r="F25" s="8"/>
      <c r="G25" s="8"/>
      <c r="H25" s="19">
        <f>C25*D25*E25</f>
        <v>360000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1</v>
      </c>
      <c r="E26" s="37">
        <v>1</v>
      </c>
      <c r="F26" s="8"/>
      <c r="G26" s="8"/>
      <c r="H26" s="19">
        <f aca="true" t="shared" si="0" ref="H26:H39">C26*D26*E26</f>
        <v>85000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1</v>
      </c>
      <c r="E27" s="37">
        <v>1</v>
      </c>
      <c r="F27" s="8"/>
      <c r="G27" s="8"/>
      <c r="H27" s="19">
        <f t="shared" si="0"/>
        <v>165000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1</v>
      </c>
      <c r="E28" s="37">
        <v>1</v>
      </c>
      <c r="F28" s="8"/>
      <c r="G28" s="8"/>
      <c r="H28" s="19">
        <f t="shared" si="0"/>
        <v>750000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1</v>
      </c>
      <c r="E29" s="37">
        <v>2</v>
      </c>
      <c r="F29" s="8"/>
      <c r="G29" s="8"/>
      <c r="H29" s="19">
        <f t="shared" si="0"/>
        <v>1192000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1</v>
      </c>
      <c r="E30" s="37">
        <v>0</v>
      </c>
      <c r="F30" s="8"/>
      <c r="G30" s="8"/>
      <c r="H30" s="19">
        <f t="shared" si="0"/>
        <v>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1</v>
      </c>
      <c r="E31" s="37">
        <v>1</v>
      </c>
      <c r="F31" s="8"/>
      <c r="G31" s="8"/>
      <c r="H31" s="19">
        <f t="shared" si="0"/>
        <v>120000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1</v>
      </c>
      <c r="E32" s="37">
        <v>2</v>
      </c>
      <c r="F32" s="8"/>
      <c r="G32" s="8"/>
      <c r="H32" s="19">
        <f t="shared" si="0"/>
        <v>76000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1</v>
      </c>
      <c r="E33" s="37">
        <v>2</v>
      </c>
      <c r="F33" s="8" t="s">
        <v>36</v>
      </c>
      <c r="G33" s="8"/>
      <c r="H33" s="19">
        <f t="shared" si="0"/>
        <v>232727.2727272727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1</v>
      </c>
      <c r="E34" s="37">
        <v>2</v>
      </c>
      <c r="F34" s="8"/>
      <c r="G34" s="8"/>
      <c r="H34" s="19">
        <f t="shared" si="0"/>
        <v>76000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</v>
      </c>
      <c r="E35" s="37">
        <v>1</v>
      </c>
      <c r="F35" s="8"/>
      <c r="G35" s="8"/>
      <c r="H35" s="19">
        <f t="shared" si="0"/>
        <v>0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0</v>
      </c>
      <c r="E36" s="37">
        <v>1</v>
      </c>
      <c r="F36" s="8"/>
      <c r="G36" s="8"/>
      <c r="H36" s="19">
        <f>C36*D36*E36</f>
        <v>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</v>
      </c>
      <c r="E37" s="37">
        <v>1.5</v>
      </c>
      <c r="F37" s="8"/>
      <c r="G37" s="8"/>
      <c r="H37" s="19">
        <f t="shared" si="0"/>
        <v>0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3750708.6378272725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60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1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">
        <v>176</v>
      </c>
      <c r="C51" s="6">
        <v>120</v>
      </c>
      <c r="D51" s="37">
        <v>5280</v>
      </c>
      <c r="E51" s="37">
        <v>3</v>
      </c>
      <c r="F51" s="8"/>
      <c r="G51" s="8"/>
      <c r="H51" s="19">
        <f t="shared" si="1"/>
        <v>1900800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36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 t="shared" si="1"/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1900800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400</v>
      </c>
      <c r="E64" s="8"/>
      <c r="F64" s="8"/>
      <c r="G64" s="8"/>
      <c r="H64" s="19">
        <f>C64*D64</f>
        <v>20000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800</v>
      </c>
      <c r="E65" s="8"/>
      <c r="F65" s="8"/>
      <c r="G65" s="8"/>
      <c r="H65" s="19">
        <f>C65*D65</f>
        <v>96000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1200</v>
      </c>
      <c r="E66" s="8"/>
      <c r="F66" s="7">
        <v>12</v>
      </c>
      <c r="G66" s="8"/>
      <c r="H66" s="19">
        <f>C66*D66*F66</f>
        <v>864000</v>
      </c>
      <c r="I66" s="40" t="s">
        <v>162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0</v>
      </c>
      <c r="F67" s="8"/>
      <c r="G67" s="8"/>
      <c r="H67" s="19">
        <f aca="true" t="shared" si="2" ref="H67:H75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51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49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56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0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 t="shared" si="2"/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 t="shared" si="2"/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100</v>
      </c>
      <c r="E76" s="8"/>
      <c r="F76" s="8"/>
      <c r="G76" s="8"/>
      <c r="H76" s="19">
        <f aca="true" t="shared" si="3" ref="H76:H81">C76*D76</f>
        <v>6000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 t="shared" si="3"/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 t="shared" si="3"/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 t="shared" si="3"/>
        <v>0</v>
      </c>
      <c r="I80" s="40"/>
    </row>
    <row r="81" spans="2:9" ht="25.5">
      <c r="B81" s="18" t="str">
        <f>Database!B73</f>
        <v>Traffic Signalization / Upgrade (ea)</v>
      </c>
      <c r="C81" s="6">
        <f>Database!C73</f>
        <v>160000</v>
      </c>
      <c r="D81" s="7">
        <v>0</v>
      </c>
      <c r="E81" s="8"/>
      <c r="F81" s="8"/>
      <c r="G81" s="8"/>
      <c r="H81" s="19">
        <f t="shared" si="3"/>
        <v>0</v>
      </c>
      <c r="I81" s="40" t="s">
        <v>163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986000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6637508.6378272725</v>
      </c>
      <c r="I84" s="68" t="s">
        <v>36</v>
      </c>
      <c r="J84" t="s">
        <v>36</v>
      </c>
    </row>
    <row r="85" spans="8:9" ht="12.75">
      <c r="H85" s="52">
        <f>H84/$H$114</f>
        <v>0.5534019746551379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8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4" ref="F88:F95">D88*5280*E88/43560</f>
        <v>0</v>
      </c>
      <c r="G88" s="8"/>
      <c r="H88" s="19">
        <f aca="true" t="shared" si="5" ref="H88:H95">C88*F88</f>
        <v>0</v>
      </c>
    </row>
    <row r="89" spans="2:8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4"/>
        <v>0</v>
      </c>
      <c r="G89" s="8"/>
      <c r="H89" s="19">
        <f t="shared" si="5"/>
        <v>0</v>
      </c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0</v>
      </c>
      <c r="F90" s="42">
        <f t="shared" si="4"/>
        <v>0</v>
      </c>
      <c r="G90" s="8"/>
      <c r="H90" s="19">
        <f t="shared" si="5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4"/>
        <v>0</v>
      </c>
      <c r="G91" s="8"/>
      <c r="H91" s="19">
        <f t="shared" si="5"/>
        <v>0</v>
      </c>
      <c r="I91" s="40"/>
    </row>
    <row r="92" spans="2:9" ht="12.75">
      <c r="B92" s="18" t="s">
        <v>23</v>
      </c>
      <c r="C92" s="6">
        <f>Database!C80</f>
        <v>500000</v>
      </c>
      <c r="D92" s="7">
        <v>1.19</v>
      </c>
      <c r="E92" s="7">
        <v>12</v>
      </c>
      <c r="F92" s="42">
        <f t="shared" si="4"/>
        <v>1.7309090909090907</v>
      </c>
      <c r="G92" s="8"/>
      <c r="H92" s="19">
        <f t="shared" si="5"/>
        <v>865454.5454545454</v>
      </c>
      <c r="I92" s="40" t="s">
        <v>164</v>
      </c>
    </row>
    <row r="93" spans="2:9" ht="12.75">
      <c r="B93" s="18"/>
      <c r="C93" s="6">
        <f>Database!C81</f>
        <v>500000</v>
      </c>
      <c r="D93" s="7">
        <v>1.19</v>
      </c>
      <c r="E93" s="7">
        <v>18</v>
      </c>
      <c r="F93" s="42">
        <f t="shared" si="4"/>
        <v>2.596363636363636</v>
      </c>
      <c r="G93" s="8"/>
      <c r="H93" s="19">
        <f t="shared" si="5"/>
        <v>1298181.8181818181</v>
      </c>
      <c r="I93" s="40" t="s">
        <v>160</v>
      </c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4"/>
        <v>0</v>
      </c>
      <c r="G94" s="8"/>
      <c r="H94" s="19">
        <f t="shared" si="5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4"/>
        <v>0</v>
      </c>
      <c r="G95" s="8"/>
      <c r="H95" s="19">
        <f t="shared" si="5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1</v>
      </c>
      <c r="E97" s="37">
        <v>3</v>
      </c>
      <c r="F97" s="8"/>
      <c r="G97" s="8"/>
      <c r="H97" s="19">
        <f>C97*D97*E97</f>
        <v>600000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1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4559999.999999999</v>
      </c>
      <c r="I101" s="68" t="s">
        <v>36</v>
      </c>
      <c r="J101" t="s">
        <v>36</v>
      </c>
    </row>
    <row r="102" spans="8:9" ht="12.75">
      <c r="H102" s="52">
        <f>H101/$H$114</f>
        <v>0.38018978838624556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94">
        <f>0.02*(H84)</f>
        <v>132750.17275654545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132750.17275654545</v>
      </c>
      <c r="I107" s="68" t="s">
        <v>36</v>
      </c>
      <c r="J107" t="s">
        <v>36</v>
      </c>
    </row>
    <row r="108" spans="3:9" ht="12.75">
      <c r="C108" s="3"/>
      <c r="H108" s="53">
        <f>H107/$H$114</f>
        <v>0.011068039493102757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663750.8637827273</v>
      </c>
      <c r="I110" s="68" t="s">
        <v>36</v>
      </c>
      <c r="J110" t="s">
        <v>36</v>
      </c>
    </row>
    <row r="111" spans="3:9" ht="12.75">
      <c r="C111" s="3"/>
      <c r="H111" s="53">
        <f>H110/$H$114</f>
        <v>0.05534019746551378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1199400.9674366545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11994009.674366545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13193410.6418032</v>
      </c>
      <c r="I115" s="68" t="s">
        <v>36</v>
      </c>
      <c r="J115" t="s">
        <v>36</v>
      </c>
    </row>
  </sheetData>
  <mergeCells count="11">
    <mergeCell ref="G12:H12"/>
    <mergeCell ref="G13:H13"/>
    <mergeCell ref="G14:H14"/>
    <mergeCell ref="C6:H6"/>
    <mergeCell ref="G9:H9"/>
    <mergeCell ref="G10:H10"/>
    <mergeCell ref="G11:H11"/>
    <mergeCell ref="C2:H2"/>
    <mergeCell ref="C3:E3"/>
    <mergeCell ref="C4:E4"/>
    <mergeCell ref="C5:E5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H7" sqref="H7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177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5" ht="12.75">
      <c r="B5" s="4" t="s">
        <v>4</v>
      </c>
      <c r="C5" s="148">
        <v>1</v>
      </c>
      <c r="D5" s="149"/>
      <c r="E5" s="149"/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172</v>
      </c>
      <c r="G7" s="99"/>
      <c r="H7" s="108">
        <f>ROUND(I10+I11+I13,-4)</f>
        <v>2880000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171</v>
      </c>
    </row>
    <row r="10" spans="2:9" ht="12.75">
      <c r="B10" s="13" t="s">
        <v>26</v>
      </c>
      <c r="C10" s="84">
        <f>H110+(H113*H111)</f>
        <v>428302.41896100005</v>
      </c>
      <c r="D10" s="85">
        <f>C10/$C$7</f>
        <v>428302.41896100005</v>
      </c>
      <c r="E10" s="83">
        <v>2006</v>
      </c>
      <c r="F10" s="86">
        <f>C10*(1+Database!H$3)^(E10-2005)</f>
        <v>445434.51571944007</v>
      </c>
      <c r="G10" s="150">
        <f>F10*(1+Database!C$3)</f>
        <v>445434.51571944007</v>
      </c>
      <c r="H10" s="151"/>
      <c r="I10" s="100">
        <f>G10/E$17</f>
        <v>222717.25785972003</v>
      </c>
    </row>
    <row r="11" spans="2:9" ht="12.75">
      <c r="B11" s="13" t="s">
        <v>82</v>
      </c>
      <c r="C11" s="84">
        <f>H107+(H108*H113)</f>
        <v>85660.48379220002</v>
      </c>
      <c r="D11" s="85">
        <f>C11/$C$7</f>
        <v>85660.48379220002</v>
      </c>
      <c r="E11" s="83">
        <v>2008</v>
      </c>
      <c r="F11" s="86">
        <f>C11*(1+Database!H$3)^(E11-2005)</f>
        <v>96356.39444042929</v>
      </c>
      <c r="G11" s="150">
        <f>F11*(1+Database!C$3)</f>
        <v>96356.39444042929</v>
      </c>
      <c r="H11" s="151"/>
      <c r="I11" s="100">
        <f>G11/E$17</f>
        <v>48178.19722021464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100">
        <f>G12/E$17</f>
        <v>0</v>
      </c>
    </row>
    <row r="13" spans="2:9" ht="12.75">
      <c r="B13" s="13" t="s">
        <v>34</v>
      </c>
      <c r="C13" s="84">
        <f>H84+(H113*H85)</f>
        <v>4283024.189610001</v>
      </c>
      <c r="D13" s="85">
        <f>C13/$C$7</f>
        <v>4283024.189610001</v>
      </c>
      <c r="E13" s="83">
        <v>2010</v>
      </c>
      <c r="F13" s="86">
        <f>C13*(1+Database!H$3)^(E13-2005)</f>
        <v>5210953.811338416</v>
      </c>
      <c r="G13" s="150">
        <f>F13*(1+Database!C$3)</f>
        <v>5210953.811338416</v>
      </c>
      <c r="H13" s="151"/>
      <c r="I13" s="100">
        <f>G13/E$17</f>
        <v>2605476.905669208</v>
      </c>
    </row>
    <row r="14" spans="2:9" ht="13.5" thickBot="1">
      <c r="B14" s="14" t="s">
        <v>35</v>
      </c>
      <c r="C14" s="89">
        <f>SUM(C10:C13)</f>
        <v>4796987.092363201</v>
      </c>
      <c r="D14" s="90">
        <f>C14/$C$7</f>
        <v>4796987.092363201</v>
      </c>
      <c r="E14" s="91" t="s">
        <v>35</v>
      </c>
      <c r="F14" s="89">
        <f>SUM(F10:F13)</f>
        <v>5752744.721498285</v>
      </c>
      <c r="G14" s="152">
        <f>F14*(1+Database!C$3)</f>
        <v>5752744.721498285</v>
      </c>
      <c r="H14" s="153"/>
      <c r="I14" s="100">
        <f>G14/E$17</f>
        <v>2876372.3607491427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1</v>
      </c>
      <c r="E17" s="37">
        <v>2</v>
      </c>
      <c r="F17" s="8">
        <f>D17*E17</f>
        <v>2</v>
      </c>
      <c r="G17" s="8"/>
      <c r="H17" s="19">
        <f>C17*F17</f>
        <v>676860.8</v>
      </c>
      <c r="I17" s="40"/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0.2</v>
      </c>
      <c r="E21" s="7">
        <v>1</v>
      </c>
      <c r="F21" s="8">
        <f>D21*E21</f>
        <v>0.2</v>
      </c>
      <c r="G21" s="8"/>
      <c r="H21" s="19">
        <f>C21*F21</f>
        <v>67686.08</v>
      </c>
      <c r="I21" s="40" t="s">
        <v>165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0.45746181045463813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1</v>
      </c>
      <c r="E24" s="37">
        <v>1</v>
      </c>
      <c r="F24" s="8"/>
      <c r="G24" s="8"/>
      <c r="H24" s="19">
        <f aca="true" t="shared" si="0" ref="H24:H39">C24*D24*E24</f>
        <v>17120.565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1</v>
      </c>
      <c r="F25" s="8"/>
      <c r="G25" s="8"/>
      <c r="H25" s="19">
        <f t="shared" si="0"/>
        <v>180000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1</v>
      </c>
      <c r="E26" s="37">
        <v>0.5</v>
      </c>
      <c r="F26" s="8"/>
      <c r="G26" s="8"/>
      <c r="H26" s="19">
        <f t="shared" si="0"/>
        <v>42500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1</v>
      </c>
      <c r="E27" s="37">
        <v>1</v>
      </c>
      <c r="F27" s="8"/>
      <c r="G27" s="8"/>
      <c r="H27" s="19">
        <f t="shared" si="0"/>
        <v>165000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1</v>
      </c>
      <c r="E28" s="37">
        <v>1.5</v>
      </c>
      <c r="F28" s="8"/>
      <c r="G28" s="8"/>
      <c r="H28" s="19">
        <f t="shared" si="0"/>
        <v>1125000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1</v>
      </c>
      <c r="E29" s="37">
        <v>1</v>
      </c>
      <c r="F29" s="8"/>
      <c r="G29" s="8"/>
      <c r="H29" s="19">
        <f t="shared" si="0"/>
        <v>596000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1</v>
      </c>
      <c r="E30" s="37">
        <v>1</v>
      </c>
      <c r="F30" s="8"/>
      <c r="G30" s="8"/>
      <c r="H30" s="19">
        <f t="shared" si="0"/>
        <v>211200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</v>
      </c>
      <c r="E31" s="37">
        <v>1</v>
      </c>
      <c r="F31" s="8"/>
      <c r="G31" s="8"/>
      <c r="H31" s="19">
        <f t="shared" si="0"/>
        <v>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1</v>
      </c>
      <c r="E32" s="37">
        <v>3</v>
      </c>
      <c r="F32" s="8"/>
      <c r="G32" s="8"/>
      <c r="H32" s="19">
        <f t="shared" si="0"/>
        <v>114000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1</v>
      </c>
      <c r="E33" s="37">
        <v>3</v>
      </c>
      <c r="F33" s="8" t="s">
        <v>36</v>
      </c>
      <c r="G33" s="8"/>
      <c r="H33" s="19">
        <f t="shared" si="0"/>
        <v>349090.90909090906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1</v>
      </c>
      <c r="E34" s="37">
        <v>1</v>
      </c>
      <c r="F34" s="8"/>
      <c r="G34" s="8"/>
      <c r="H34" s="19">
        <f t="shared" si="0"/>
        <v>38000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0</v>
      </c>
      <c r="E35" s="37">
        <v>1</v>
      </c>
      <c r="F35" s="8"/>
      <c r="G35" s="8"/>
      <c r="H35" s="19">
        <f t="shared" si="0"/>
        <v>0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0</v>
      </c>
      <c r="E36" s="37">
        <v>1</v>
      </c>
      <c r="F36" s="8"/>
      <c r="G36" s="8"/>
      <c r="H36" s="19">
        <f t="shared" si="0"/>
        <v>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</v>
      </c>
      <c r="E37" s="37">
        <v>1</v>
      </c>
      <c r="F37" s="8"/>
      <c r="G37" s="8"/>
      <c r="H37" s="19">
        <f t="shared" si="0"/>
        <v>0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3582458.3541909093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1</v>
      </c>
      <c r="E47" s="37">
        <v>1</v>
      </c>
      <c r="F47" s="8"/>
      <c r="G47" s="8"/>
      <c r="H47" s="19">
        <f t="shared" si="1"/>
        <v>100000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5280</v>
      </c>
      <c r="E48" s="37">
        <v>1</v>
      </c>
      <c r="F48" s="8"/>
      <c r="G48" s="8"/>
      <c r="H48" s="19">
        <f t="shared" si="1"/>
        <v>211200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311200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162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15</v>
      </c>
      <c r="F67" s="8"/>
      <c r="G67" s="8"/>
      <c r="H67" s="19">
        <f aca="true" t="shared" si="2" ref="H67:H72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20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36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36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36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6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0</v>
      </c>
      <c r="E81" s="8"/>
      <c r="F81" s="8"/>
      <c r="G81" s="8"/>
      <c r="H81" s="19">
        <f>C81*D81</f>
        <v>0</v>
      </c>
      <c r="I81" s="40" t="s">
        <v>165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3893658.3541909093</v>
      </c>
      <c r="I84" s="68" t="s">
        <v>36</v>
      </c>
      <c r="J84" t="s">
        <v>36</v>
      </c>
    </row>
    <row r="85" spans="8:9" ht="12.75">
      <c r="H85" s="52">
        <f>H84/$H$114</f>
        <v>0.8928571428571429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3" ref="F88:F95">D88*5280*E88/43560</f>
        <v>0</v>
      </c>
      <c r="G88" s="8"/>
      <c r="H88" s="19">
        <f aca="true" t="shared" si="4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3"/>
        <v>0</v>
      </c>
      <c r="G89" s="8"/>
      <c r="H89" s="19">
        <f t="shared" si="4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0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/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0.75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77873.16708381819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77873.16708381819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389365.83541909093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436089.73566938186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4360897.356693818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4796987.0923632</v>
      </c>
      <c r="I115" s="68" t="s">
        <v>36</v>
      </c>
      <c r="J115" t="s">
        <v>36</v>
      </c>
    </row>
  </sheetData>
  <mergeCells count="11">
    <mergeCell ref="C6:H6"/>
    <mergeCell ref="C2:H2"/>
    <mergeCell ref="C3:E3"/>
    <mergeCell ref="C4:E4"/>
    <mergeCell ref="C5:E5"/>
    <mergeCell ref="G13:H13"/>
    <mergeCell ref="G14:H14"/>
    <mergeCell ref="G9:H9"/>
    <mergeCell ref="G10:H10"/>
    <mergeCell ref="G11:H11"/>
    <mergeCell ref="G12:H12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4">
      <selection activeCell="G5" sqref="G5:H5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191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8" ht="12.75">
      <c r="B5" s="4" t="s">
        <v>4</v>
      </c>
      <c r="C5" s="148">
        <v>1</v>
      </c>
      <c r="D5" s="149"/>
      <c r="E5" s="149"/>
      <c r="G5" s="99" t="s">
        <v>192</v>
      </c>
      <c r="H5" s="109">
        <f>H7-ROUND(H35+H28*0.25,-4)/E17</f>
        <v>2440000</v>
      </c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172</v>
      </c>
      <c r="G7" s="99"/>
      <c r="H7" s="108">
        <f>ROUND(I10+I11+I13,-4)</f>
        <v>2710000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171</v>
      </c>
    </row>
    <row r="10" spans="2:9" ht="12.75">
      <c r="B10" s="13" t="s">
        <v>26</v>
      </c>
      <c r="C10" s="84">
        <f>H110+(H113*H111)</f>
        <v>403381.9745165556</v>
      </c>
      <c r="D10" s="85">
        <f>C10/$C$7</f>
        <v>403381.9745165556</v>
      </c>
      <c r="E10" s="83">
        <v>2006</v>
      </c>
      <c r="F10" s="86">
        <f>C10*(1+Database!H$3)^(E10-2005)</f>
        <v>419517.25349721784</v>
      </c>
      <c r="G10" s="150">
        <f>F10*(1+Database!C$3)</f>
        <v>419517.25349721784</v>
      </c>
      <c r="H10" s="151"/>
      <c r="I10" s="98">
        <f>G10/E$17</f>
        <v>209758.62674860892</v>
      </c>
    </row>
    <row r="11" spans="2:9" ht="12.75">
      <c r="B11" s="13" t="s">
        <v>82</v>
      </c>
      <c r="C11" s="84">
        <f>H107+(H108*H113)</f>
        <v>80676.39490331113</v>
      </c>
      <c r="D11" s="85">
        <f>C11/$C$7</f>
        <v>80676.39490331113</v>
      </c>
      <c r="E11" s="83">
        <v>2008</v>
      </c>
      <c r="F11" s="86">
        <f>C11*(1+Database!H$3)^(E11-2005)</f>
        <v>90749.97227651818</v>
      </c>
      <c r="G11" s="150">
        <f>F11*(1+Database!C$3)</f>
        <v>90749.97227651818</v>
      </c>
      <c r="H11" s="151"/>
      <c r="I11" s="98">
        <f>G11/E$17</f>
        <v>45374.98613825909</v>
      </c>
    </row>
    <row r="12" spans="2:9" ht="12.75">
      <c r="B12" s="13" t="s">
        <v>33</v>
      </c>
      <c r="C12" s="84">
        <f>H101+(H113*H102)</f>
        <v>4949999.999999999</v>
      </c>
      <c r="D12" s="85">
        <f>C12/$C$7</f>
        <v>4949999.999999999</v>
      </c>
      <c r="E12" s="83">
        <v>2008</v>
      </c>
      <c r="F12" s="86">
        <f>C12*(1+Database!H$3)^(E12-2005)</f>
        <v>5568076.8</v>
      </c>
      <c r="G12" s="150">
        <f>F12*(1+Database!C$3)</f>
        <v>5568076.8</v>
      </c>
      <c r="H12" s="151"/>
      <c r="I12" s="98">
        <f>G12/E$17</f>
        <v>2784038.4</v>
      </c>
    </row>
    <row r="13" spans="2:9" ht="12.75">
      <c r="B13" s="13" t="s">
        <v>34</v>
      </c>
      <c r="C13" s="84">
        <f>H84+(H113*H85)</f>
        <v>4033819.7451655557</v>
      </c>
      <c r="D13" s="85">
        <f>C13/$C$7</f>
        <v>4033819.7451655557</v>
      </c>
      <c r="E13" s="83">
        <v>2010</v>
      </c>
      <c r="F13" s="86">
        <f>C13*(1+Database!H$3)^(E13-2005)</f>
        <v>4907758.500714103</v>
      </c>
      <c r="G13" s="150">
        <f>F13*(1+Database!C$3)</f>
        <v>4907758.500714103</v>
      </c>
      <c r="H13" s="151"/>
      <c r="I13" s="98">
        <f>G13/E$17</f>
        <v>2453879.2503570514</v>
      </c>
    </row>
    <row r="14" spans="2:9" ht="13.5" thickBot="1">
      <c r="B14" s="14" t="s">
        <v>35</v>
      </c>
      <c r="C14" s="89">
        <f>SUM(C10:C13)</f>
        <v>9467878.114585422</v>
      </c>
      <c r="D14" s="90">
        <f>C14/$C$7</f>
        <v>9467878.114585422</v>
      </c>
      <c r="E14" s="91" t="s">
        <v>35</v>
      </c>
      <c r="F14" s="89">
        <f>SUM(F10:F13)</f>
        <v>10986102.526487838</v>
      </c>
      <c r="G14" s="152">
        <f>F14*(1+Database!C$3)</f>
        <v>10986102.526487838</v>
      </c>
      <c r="H14" s="153"/>
      <c r="I14" s="98">
        <f>G14/E$17</f>
        <v>5493051.263243919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1</v>
      </c>
      <c r="E17" s="37">
        <v>2</v>
      </c>
      <c r="F17" s="8">
        <f>D17*E17</f>
        <v>2</v>
      </c>
      <c r="G17" s="8"/>
      <c r="H17" s="19">
        <f>C17*F17</f>
        <v>676860.8</v>
      </c>
      <c r="I17" s="40"/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0.2</v>
      </c>
      <c r="E21" s="7">
        <v>1</v>
      </c>
      <c r="F21" s="8">
        <f>D21*E21</f>
        <v>0.2</v>
      </c>
      <c r="G21" s="8"/>
      <c r="H21" s="19">
        <f>C21*F21</f>
        <v>67686.08</v>
      </c>
      <c r="I21" s="40" t="s">
        <v>165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95">
        <f>(H25+H27+H28+H43+H47+H48+H57)/H84</f>
        <v>0.3790451970077426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1</v>
      </c>
      <c r="E24" s="37">
        <v>1</v>
      </c>
      <c r="F24" s="8"/>
      <c r="G24" s="8"/>
      <c r="H24" s="19">
        <f>C24*D24*E24</f>
        <v>17120.565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0</v>
      </c>
      <c r="E25" s="37">
        <v>1</v>
      </c>
      <c r="F25" s="8"/>
      <c r="G25" s="8"/>
      <c r="H25" s="19">
        <f>C25*D25*E25</f>
        <v>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1</v>
      </c>
      <c r="E26" s="37">
        <v>0.5</v>
      </c>
      <c r="F26" s="8"/>
      <c r="G26" s="8"/>
      <c r="H26" s="19">
        <f aca="true" t="shared" si="0" ref="H26:H39">C26*D26*E26</f>
        <v>42500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1</v>
      </c>
      <c r="E27" s="37">
        <v>1</v>
      </c>
      <c r="F27" s="8"/>
      <c r="G27" s="8"/>
      <c r="H27" s="19">
        <f t="shared" si="0"/>
        <v>165000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1</v>
      </c>
      <c r="E28" s="37">
        <v>1.5</v>
      </c>
      <c r="F28" s="8"/>
      <c r="G28" s="8"/>
      <c r="H28" s="19">
        <f t="shared" si="0"/>
        <v>1125000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1</v>
      </c>
      <c r="E29" s="37">
        <v>1</v>
      </c>
      <c r="F29" s="8"/>
      <c r="G29" s="8"/>
      <c r="H29" s="19">
        <f t="shared" si="0"/>
        <v>596000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1</v>
      </c>
      <c r="E30" s="37">
        <v>1</v>
      </c>
      <c r="F30" s="8"/>
      <c r="G30" s="8"/>
      <c r="H30" s="19">
        <f t="shared" si="0"/>
        <v>211200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</v>
      </c>
      <c r="E31" s="37">
        <v>1</v>
      </c>
      <c r="F31" s="8"/>
      <c r="G31" s="8"/>
      <c r="H31" s="19">
        <f t="shared" si="0"/>
        <v>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1</v>
      </c>
      <c r="E32" s="37">
        <v>1</v>
      </c>
      <c r="F32" s="8"/>
      <c r="G32" s="8"/>
      <c r="H32" s="19">
        <f t="shared" si="0"/>
        <v>38000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1</v>
      </c>
      <c r="E33" s="37">
        <v>1</v>
      </c>
      <c r="F33" s="8" t="s">
        <v>36</v>
      </c>
      <c r="G33" s="8"/>
      <c r="H33" s="19">
        <f t="shared" si="0"/>
        <v>116363.63636363635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1</v>
      </c>
      <c r="E34" s="37">
        <v>1</v>
      </c>
      <c r="F34" s="8"/>
      <c r="G34" s="8"/>
      <c r="H34" s="19">
        <f t="shared" si="0"/>
        <v>38000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1</v>
      </c>
      <c r="E35" s="37">
        <v>1</v>
      </c>
      <c r="F35" s="8"/>
      <c r="G35" s="8"/>
      <c r="H35" s="19">
        <f t="shared" si="0"/>
        <v>255644.44444444444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1</v>
      </c>
      <c r="E36" s="37">
        <v>1</v>
      </c>
      <c r="F36" s="8"/>
      <c r="G36" s="8"/>
      <c r="H36" s="19">
        <f t="shared" si="0"/>
        <v>30000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1</v>
      </c>
      <c r="E37" s="37">
        <v>1</v>
      </c>
      <c r="F37" s="8"/>
      <c r="G37" s="8"/>
      <c r="H37" s="19">
        <f t="shared" si="0"/>
        <v>187733.33333333334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3567108.8592414143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1</v>
      </c>
      <c r="E47" s="37">
        <v>1</v>
      </c>
      <c r="F47" s="8"/>
      <c r="G47" s="8"/>
      <c r="H47" s="19">
        <f t="shared" si="1"/>
        <v>100000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100000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162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15</v>
      </c>
      <c r="F67" s="8"/>
      <c r="G67" s="8"/>
      <c r="H67" s="19">
        <f aca="true" t="shared" si="2" ref="H67:H75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20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36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36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36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6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 t="shared" si="2"/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 t="shared" si="2"/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 aca="true" t="shared" si="3" ref="H76:H81"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 t="shared" si="3"/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 t="shared" si="3"/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 t="shared" si="3"/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0</v>
      </c>
      <c r="E81" s="8"/>
      <c r="F81" s="8"/>
      <c r="G81" s="8"/>
      <c r="H81" s="19">
        <f t="shared" si="3"/>
        <v>0</v>
      </c>
      <c r="I81" s="40" t="s">
        <v>165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3667108.8592414143</v>
      </c>
      <c r="I84" s="68" t="s">
        <v>36</v>
      </c>
      <c r="J84" t="s">
        <v>36</v>
      </c>
    </row>
    <row r="85" spans="8:9" ht="12.75">
      <c r="H85" s="52">
        <f>H84/$H$114</f>
        <v>0.4260531975957095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1</v>
      </c>
      <c r="E88" s="7">
        <v>18</v>
      </c>
      <c r="F88" s="42">
        <f aca="true" t="shared" si="4" ref="F88:F95">D88*5280*E88/43560</f>
        <v>2.1818181818181817</v>
      </c>
      <c r="G88" s="8"/>
      <c r="H88" s="19">
        <f aca="true" t="shared" si="5" ref="H88:H95">C88*F88</f>
        <v>1636363.6363636362</v>
      </c>
      <c r="I88" s="40"/>
    </row>
    <row r="89" spans="2:9" ht="12.75">
      <c r="B89" s="18"/>
      <c r="C89" s="6">
        <f>Database!C77</f>
        <v>750000</v>
      </c>
      <c r="D89" s="7">
        <v>1</v>
      </c>
      <c r="E89" s="7">
        <v>12</v>
      </c>
      <c r="F89" s="42">
        <f t="shared" si="4"/>
        <v>1.4545454545454546</v>
      </c>
      <c r="G89" s="8"/>
      <c r="H89" s="19">
        <f t="shared" si="5"/>
        <v>1090909.0909090908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12</v>
      </c>
      <c r="F90" s="42">
        <f t="shared" si="4"/>
        <v>0</v>
      </c>
      <c r="G90" s="8"/>
      <c r="H90" s="19">
        <f t="shared" si="5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4"/>
        <v>0</v>
      </c>
      <c r="G91" s="8"/>
      <c r="H91" s="19">
        <f t="shared" si="5"/>
        <v>0</v>
      </c>
      <c r="I91" s="40"/>
    </row>
    <row r="92" spans="2:9" ht="12.75">
      <c r="B92" s="18" t="s">
        <v>23</v>
      </c>
      <c r="C92" s="6">
        <f>Database!C80</f>
        <v>500000</v>
      </c>
      <c r="D92" s="7"/>
      <c r="E92" s="7">
        <v>0</v>
      </c>
      <c r="F92" s="42">
        <f t="shared" si="4"/>
        <v>0</v>
      </c>
      <c r="G92" s="8"/>
      <c r="H92" s="19">
        <f t="shared" si="5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4"/>
        <v>0</v>
      </c>
      <c r="G93" s="8"/>
      <c r="H93" s="19">
        <f t="shared" si="5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4"/>
        <v>0</v>
      </c>
      <c r="G94" s="8"/>
      <c r="H94" s="19">
        <f t="shared" si="5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4"/>
        <v>0</v>
      </c>
      <c r="G95" s="8"/>
      <c r="H95" s="19">
        <f t="shared" si="5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0.75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4499999.999999999</v>
      </c>
      <c r="I101" s="68" t="s">
        <v>36</v>
      </c>
      <c r="J101" t="s">
        <v>36</v>
      </c>
    </row>
    <row r="102" spans="8:9" ht="12.75">
      <c r="H102" s="52">
        <f>H101/$H$114</f>
        <v>0.5228204186928055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94">
        <f>0.02*(H84)</f>
        <v>73342.1771848283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73342.1771848283</v>
      </c>
      <c r="I107" s="68" t="s">
        <v>36</v>
      </c>
      <c r="J107" t="s">
        <v>36</v>
      </c>
    </row>
    <row r="108" spans="3:9" ht="12.75">
      <c r="C108" s="3"/>
      <c r="H108" s="53">
        <f>H107/$H$114</f>
        <v>0.00852106395191419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366710.88592414145</v>
      </c>
      <c r="I110" s="68" t="s">
        <v>36</v>
      </c>
      <c r="J110" t="s">
        <v>36</v>
      </c>
    </row>
    <row r="111" spans="3:9" ht="12.75">
      <c r="C111" s="3"/>
      <c r="H111" s="53">
        <f>H110/$H$114</f>
        <v>0.04260531975957095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860716.1922350383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8607161.922350382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9467878.11458542</v>
      </c>
      <c r="I115" s="68" t="s">
        <v>36</v>
      </c>
      <c r="J115" t="s">
        <v>36</v>
      </c>
    </row>
  </sheetData>
  <mergeCells count="11">
    <mergeCell ref="G13:H13"/>
    <mergeCell ref="G14:H14"/>
    <mergeCell ref="G9:H9"/>
    <mergeCell ref="G10:H10"/>
    <mergeCell ref="G11:H11"/>
    <mergeCell ref="G12:H12"/>
    <mergeCell ref="C6:H6"/>
    <mergeCell ref="C2:H2"/>
    <mergeCell ref="C3:E3"/>
    <mergeCell ref="C4:E4"/>
    <mergeCell ref="C5:E5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C6" sqref="C6:H6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00390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167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8" ht="12.75">
      <c r="B5" s="4" t="s">
        <v>4</v>
      </c>
      <c r="C5" s="148">
        <v>1</v>
      </c>
      <c r="D5" s="149"/>
      <c r="E5" s="149"/>
      <c r="G5" s="99" t="s">
        <v>192</v>
      </c>
      <c r="H5" s="109">
        <f>H7-ROUND(H35+H28*0.25,-4)/E17</f>
        <v>2490000</v>
      </c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172</v>
      </c>
      <c r="G7" s="99"/>
      <c r="H7" s="108">
        <f>ROUND(I10+I11+I13,-4)</f>
        <v>2760000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171</v>
      </c>
    </row>
    <row r="10" spans="2:9" ht="12.75">
      <c r="B10" s="13" t="s">
        <v>26</v>
      </c>
      <c r="C10" s="84">
        <f>H110+(H113*H111)</f>
        <v>411639.3078498889</v>
      </c>
      <c r="D10" s="85">
        <f>C10/$C$7</f>
        <v>411639.3078498889</v>
      </c>
      <c r="E10" s="83">
        <v>2006</v>
      </c>
      <c r="F10" s="86">
        <f>C10*(1+Database!H$3)^(E10-2005)</f>
        <v>428104.8801638845</v>
      </c>
      <c r="G10" s="150">
        <f>F10*(1+Database!C$3)</f>
        <v>428104.8801638845</v>
      </c>
      <c r="H10" s="151"/>
      <c r="I10" s="100">
        <f>G10/E$17</f>
        <v>214052.44008194224</v>
      </c>
    </row>
    <row r="11" spans="2:9" ht="12.75">
      <c r="B11" s="13" t="s">
        <v>82</v>
      </c>
      <c r="C11" s="84">
        <f>H107+(H108*H113)</f>
        <v>82327.86156997779</v>
      </c>
      <c r="D11" s="85">
        <f>C11/$C$7</f>
        <v>82327.86156997779</v>
      </c>
      <c r="E11" s="83">
        <v>2008</v>
      </c>
      <c r="F11" s="86">
        <f>C11*(1+Database!H$3)^(E11-2005)</f>
        <v>92607.6476770515</v>
      </c>
      <c r="G11" s="150">
        <f>F11*(1+Database!C$3)</f>
        <v>92607.6476770515</v>
      </c>
      <c r="H11" s="151"/>
      <c r="I11" s="100">
        <f>G11/E$17</f>
        <v>46303.82383852575</v>
      </c>
    </row>
    <row r="12" spans="2:9" ht="12.75">
      <c r="B12" s="13" t="s">
        <v>33</v>
      </c>
      <c r="C12" s="84">
        <f>H101+(H113*H102)</f>
        <v>4949999.999999999</v>
      </c>
      <c r="D12" s="85">
        <f>C12/$C$7</f>
        <v>4949999.999999999</v>
      </c>
      <c r="E12" s="83">
        <v>2008</v>
      </c>
      <c r="F12" s="86">
        <f>C12*(1+Database!H$3)^(E12-2005)</f>
        <v>5568076.8</v>
      </c>
      <c r="G12" s="150">
        <f>F12*(1+Database!C$3)</f>
        <v>5568076.8</v>
      </c>
      <c r="H12" s="151"/>
      <c r="I12" s="100">
        <f>G12/E$17</f>
        <v>2784038.4</v>
      </c>
    </row>
    <row r="13" spans="2:9" ht="12.75">
      <c r="B13" s="13" t="s">
        <v>34</v>
      </c>
      <c r="C13" s="84">
        <f>H84+(H113*H85)</f>
        <v>4116393.0784988888</v>
      </c>
      <c r="D13" s="85">
        <f>C13/$C$7</f>
        <v>4116393.0784988888</v>
      </c>
      <c r="E13" s="83">
        <v>2010</v>
      </c>
      <c r="F13" s="86">
        <f>C13*(1+Database!H$3)^(E13-2005)</f>
        <v>5008221.586374946</v>
      </c>
      <c r="G13" s="150">
        <f>F13*(1+Database!C$3)</f>
        <v>5008221.586374946</v>
      </c>
      <c r="H13" s="151"/>
      <c r="I13" s="100">
        <f>G13/E$17</f>
        <v>2504110.793187473</v>
      </c>
    </row>
    <row r="14" spans="2:9" ht="13.5" thickBot="1">
      <c r="B14" s="14" t="s">
        <v>35</v>
      </c>
      <c r="C14" s="89">
        <f>SUM(C10:C13)</f>
        <v>9560360.247918755</v>
      </c>
      <c r="D14" s="90">
        <f>C14/$C$7</f>
        <v>9560360.247918755</v>
      </c>
      <c r="E14" s="91" t="s">
        <v>35</v>
      </c>
      <c r="F14" s="89">
        <f>SUM(F10:F13)</f>
        <v>11097010.914215881</v>
      </c>
      <c r="G14" s="152">
        <f>F14*(1+Database!C$3)</f>
        <v>11097010.914215881</v>
      </c>
      <c r="H14" s="153"/>
      <c r="I14" s="100">
        <f>G14/E$17</f>
        <v>5548505.457107941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1</v>
      </c>
      <c r="E17" s="37">
        <v>2</v>
      </c>
      <c r="F17" s="8">
        <f>D17*E17</f>
        <v>2</v>
      </c>
      <c r="G17" s="8"/>
      <c r="H17" s="19">
        <f>C17*F17</f>
        <v>676860.8</v>
      </c>
      <c r="I17" s="40"/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0</v>
      </c>
      <c r="E19" s="37">
        <v>0</v>
      </c>
      <c r="F19" s="8">
        <f>D19*E19</f>
        <v>0</v>
      </c>
      <c r="G19" s="8"/>
      <c r="H19" s="19">
        <f>C19*F19</f>
        <v>0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0.2</v>
      </c>
      <c r="E21" s="7">
        <v>1</v>
      </c>
      <c r="F21" s="8">
        <f>D21*E21</f>
        <v>0.2</v>
      </c>
      <c r="G21" s="8"/>
      <c r="H21" s="19">
        <f>C21*F21</f>
        <v>67686.08</v>
      </c>
      <c r="I21" s="40" t="s">
        <v>165</v>
      </c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101">
        <f>(H25+H27+H28+H43+H47+H48+H57)/H84</f>
        <v>0.37144168956711376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1</v>
      </c>
      <c r="E24" s="37">
        <v>1</v>
      </c>
      <c r="F24" s="8"/>
      <c r="G24" s="8"/>
      <c r="H24" s="19">
        <f aca="true" t="shared" si="0" ref="H24:H39">C24*D24*E24</f>
        <v>17120.565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0</v>
      </c>
      <c r="E25" s="37">
        <v>1</v>
      </c>
      <c r="F25" s="8"/>
      <c r="G25" s="8"/>
      <c r="H25" s="19">
        <f t="shared" si="0"/>
        <v>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1</v>
      </c>
      <c r="E26" s="37">
        <v>0.5</v>
      </c>
      <c r="F26" s="8"/>
      <c r="G26" s="8"/>
      <c r="H26" s="19">
        <f t="shared" si="0"/>
        <v>42500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1</v>
      </c>
      <c r="E27" s="37">
        <v>1</v>
      </c>
      <c r="F27" s="8"/>
      <c r="G27" s="8"/>
      <c r="H27" s="19">
        <f t="shared" si="0"/>
        <v>165000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1</v>
      </c>
      <c r="E28" s="37">
        <v>1.5</v>
      </c>
      <c r="F28" s="8"/>
      <c r="G28" s="8"/>
      <c r="H28" s="19">
        <f t="shared" si="0"/>
        <v>1125000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0</v>
      </c>
      <c r="E29" s="37">
        <v>1</v>
      </c>
      <c r="F29" s="8"/>
      <c r="G29" s="8"/>
      <c r="H29" s="19">
        <f t="shared" si="0"/>
        <v>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0</v>
      </c>
      <c r="E30" s="37">
        <v>1</v>
      </c>
      <c r="F30" s="8"/>
      <c r="G30" s="8"/>
      <c r="H30" s="19">
        <f t="shared" si="0"/>
        <v>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1</v>
      </c>
      <c r="E31" s="37">
        <v>1</v>
      </c>
      <c r="F31" s="8"/>
      <c r="G31" s="8"/>
      <c r="H31" s="19">
        <f t="shared" si="0"/>
        <v>120000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1</v>
      </c>
      <c r="E32" s="37">
        <v>1</v>
      </c>
      <c r="F32" s="8"/>
      <c r="G32" s="8"/>
      <c r="H32" s="19">
        <f t="shared" si="0"/>
        <v>38000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1</v>
      </c>
      <c r="E33" s="37">
        <v>1</v>
      </c>
      <c r="F33" s="8" t="s">
        <v>36</v>
      </c>
      <c r="G33" s="8"/>
      <c r="H33" s="19">
        <f t="shared" si="0"/>
        <v>116363.63636363635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1</v>
      </c>
      <c r="E34" s="37">
        <v>1</v>
      </c>
      <c r="F34" s="8"/>
      <c r="G34" s="8"/>
      <c r="H34" s="19">
        <f t="shared" si="0"/>
        <v>38000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1</v>
      </c>
      <c r="E35" s="37">
        <v>1</v>
      </c>
      <c r="F35" s="8"/>
      <c r="G35" s="8"/>
      <c r="H35" s="19">
        <f t="shared" si="0"/>
        <v>255644.44444444444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0</v>
      </c>
      <c r="E36" s="37">
        <v>1</v>
      </c>
      <c r="F36" s="8"/>
      <c r="G36" s="8"/>
      <c r="H36" s="19">
        <f t="shared" si="0"/>
        <v>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0</v>
      </c>
      <c r="E37" s="37">
        <v>1</v>
      </c>
      <c r="F37" s="8"/>
      <c r="G37" s="8"/>
      <c r="H37" s="19">
        <f t="shared" si="0"/>
        <v>0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2662175.525908081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1</v>
      </c>
      <c r="E47" s="37">
        <v>1</v>
      </c>
      <c r="F47" s="8"/>
      <c r="G47" s="8"/>
      <c r="H47" s="19">
        <f t="shared" si="1"/>
        <v>100000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100000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400</v>
      </c>
      <c r="E64" s="8"/>
      <c r="F64" s="8"/>
      <c r="G64" s="8"/>
      <c r="H64" s="19">
        <f>C64*D64</f>
        <v>20000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800</v>
      </c>
      <c r="E65" s="8"/>
      <c r="F65" s="8"/>
      <c r="G65" s="8"/>
      <c r="H65" s="19">
        <f>C65*D65</f>
        <v>96000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1200</v>
      </c>
      <c r="E66" s="8"/>
      <c r="F66" s="7">
        <v>12</v>
      </c>
      <c r="G66" s="8"/>
      <c r="H66" s="19">
        <f>C66*D66*F66</f>
        <v>864000</v>
      </c>
      <c r="I66" s="40" t="s">
        <v>162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15</v>
      </c>
      <c r="F67" s="8"/>
      <c r="G67" s="8"/>
      <c r="H67" s="19">
        <f aca="true" t="shared" si="2" ref="H67:H72">C67*D67*E67</f>
        <v>0</v>
      </c>
      <c r="I67" s="40" t="s">
        <v>36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20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36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36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36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6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>C74*D74*E74</f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>C75*D75*E75</f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>C77*D77</f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>C78*D78</f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>C80*D80</f>
        <v>0</v>
      </c>
      <c r="I80" s="40"/>
    </row>
    <row r="81" spans="2:9" ht="12.75">
      <c r="B81" s="18" t="str">
        <f>Database!B73</f>
        <v>Traffic Signalization / Upgrade (ea)</v>
      </c>
      <c r="C81" s="6">
        <f>Database!C73</f>
        <v>160000</v>
      </c>
      <c r="D81" s="7">
        <v>0</v>
      </c>
      <c r="E81" s="8"/>
      <c r="F81" s="8"/>
      <c r="G81" s="8"/>
      <c r="H81" s="19">
        <f>C81*D81</f>
        <v>0</v>
      </c>
      <c r="I81" s="40" t="s">
        <v>165</v>
      </c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980000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3742175.525908081</v>
      </c>
      <c r="I84" s="68" t="s">
        <v>36</v>
      </c>
      <c r="J84" t="s">
        <v>36</v>
      </c>
    </row>
    <row r="85" spans="8:9" ht="12.75">
      <c r="H85" s="52">
        <f>H84/$H$114</f>
        <v>0.4305688249974689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1</v>
      </c>
      <c r="E88" s="7">
        <v>18</v>
      </c>
      <c r="F88" s="42">
        <f aca="true" t="shared" si="3" ref="F88:F95">D88*5280*E88/43560</f>
        <v>2.1818181818181817</v>
      </c>
      <c r="G88" s="8"/>
      <c r="H88" s="19">
        <f aca="true" t="shared" si="4" ref="H88:H95">C88*F88</f>
        <v>1636363.6363636362</v>
      </c>
      <c r="I88" s="40"/>
    </row>
    <row r="89" spans="2:9" ht="12.75">
      <c r="B89" s="18"/>
      <c r="C89" s="6">
        <f>Database!C77</f>
        <v>750000</v>
      </c>
      <c r="D89" s="7">
        <v>1</v>
      </c>
      <c r="E89" s="7">
        <v>12</v>
      </c>
      <c r="F89" s="42">
        <f t="shared" si="3"/>
        <v>1.4545454545454546</v>
      </c>
      <c r="G89" s="8"/>
      <c r="H89" s="19">
        <f t="shared" si="4"/>
        <v>1090909.0909090908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12</v>
      </c>
      <c r="F90" s="42">
        <f t="shared" si="3"/>
        <v>0</v>
      </c>
      <c r="G90" s="8"/>
      <c r="H90" s="19">
        <f t="shared" si="4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0</v>
      </c>
      <c r="F91" s="42">
        <f t="shared" si="3"/>
        <v>0</v>
      </c>
      <c r="G91" s="8"/>
      <c r="H91" s="19">
        <f t="shared" si="4"/>
        <v>0</v>
      </c>
      <c r="I91" s="40"/>
    </row>
    <row r="92" spans="2:9" ht="12.75">
      <c r="B92" s="18" t="s">
        <v>23</v>
      </c>
      <c r="C92" s="6">
        <f>Database!C80</f>
        <v>500000</v>
      </c>
      <c r="D92" s="7"/>
      <c r="E92" s="7">
        <v>0</v>
      </c>
      <c r="F92" s="42">
        <f t="shared" si="3"/>
        <v>0</v>
      </c>
      <c r="G92" s="8"/>
      <c r="H92" s="19">
        <f t="shared" si="4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3"/>
        <v>0</v>
      </c>
      <c r="G93" s="8"/>
      <c r="H93" s="19">
        <f t="shared" si="4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3"/>
        <v>0</v>
      </c>
      <c r="G94" s="8"/>
      <c r="H94" s="19">
        <f t="shared" si="4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3"/>
        <v>0</v>
      </c>
      <c r="G95" s="8"/>
      <c r="H95" s="19">
        <f t="shared" si="4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0.75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4499999.999999999</v>
      </c>
      <c r="I101" s="68" t="s">
        <v>36</v>
      </c>
      <c r="J101" t="s">
        <v>36</v>
      </c>
    </row>
    <row r="102" spans="8:9" ht="12.75">
      <c r="H102" s="52">
        <f>H101/$H$114</f>
        <v>0.5177629160028347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102">
        <f>0.02*(H84)</f>
        <v>74843.51051816162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74843.51051816162</v>
      </c>
      <c r="I107" s="68" t="s">
        <v>36</v>
      </c>
      <c r="J107" t="s">
        <v>36</v>
      </c>
    </row>
    <row r="108" spans="3:9" ht="12.75">
      <c r="C108" s="3"/>
      <c r="H108" s="53">
        <f>H107/$H$114</f>
        <v>0.00861137649994938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374217.55259080813</v>
      </c>
      <c r="I110" s="68" t="s">
        <v>36</v>
      </c>
      <c r="J110" t="s">
        <v>36</v>
      </c>
    </row>
    <row r="111" spans="3:9" ht="12.75">
      <c r="C111" s="3"/>
      <c r="H111" s="53">
        <f>H110/$H$114</f>
        <v>0.043056882499746894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869123.658901705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8691236.58901705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9560360.247918755</v>
      </c>
      <c r="I115" s="68" t="s">
        <v>36</v>
      </c>
      <c r="J115" t="s">
        <v>36</v>
      </c>
    </row>
  </sheetData>
  <mergeCells count="11">
    <mergeCell ref="C6:H6"/>
    <mergeCell ref="C2:H2"/>
    <mergeCell ref="C3:E3"/>
    <mergeCell ref="C4:E4"/>
    <mergeCell ref="C5:E5"/>
    <mergeCell ref="G13:H13"/>
    <mergeCell ref="G14:H14"/>
    <mergeCell ref="G9:H9"/>
    <mergeCell ref="G10:H10"/>
    <mergeCell ref="G11:H11"/>
    <mergeCell ref="G12:H12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15"/>
  <sheetViews>
    <sheetView workbookViewId="0" topLeftCell="A1">
      <selection activeCell="H7" sqref="H7"/>
    </sheetView>
  </sheetViews>
  <sheetFormatPr defaultColWidth="9.140625" defaultRowHeight="12.75"/>
  <cols>
    <col min="1" max="1" width="1.1484375" style="0" customWidth="1"/>
    <col min="2" max="2" width="30.7109375" style="0" customWidth="1"/>
    <col min="3" max="3" width="14.57421875" style="0" bestFit="1" customWidth="1"/>
    <col min="4" max="4" width="10.8515625" style="0" customWidth="1"/>
    <col min="5" max="5" width="11.28125" style="0" bestFit="1" customWidth="1"/>
    <col min="6" max="6" width="13.140625" style="0" customWidth="1"/>
    <col min="7" max="7" width="12.57421875" style="0" customWidth="1"/>
    <col min="8" max="8" width="13.7109375" style="0" bestFit="1" customWidth="1"/>
    <col min="9" max="9" width="26.8515625" style="0" customWidth="1"/>
  </cols>
  <sheetData>
    <row r="1" spans="2:8" ht="15">
      <c r="B1" s="11" t="s">
        <v>0</v>
      </c>
      <c r="H1" s="10"/>
    </row>
    <row r="2" spans="2:8" ht="12.75">
      <c r="B2" s="1" t="s">
        <v>1</v>
      </c>
      <c r="C2" s="148" t="s">
        <v>174</v>
      </c>
      <c r="D2" s="149"/>
      <c r="E2" s="149"/>
      <c r="F2" s="149"/>
      <c r="G2" s="149"/>
      <c r="H2" s="149"/>
    </row>
    <row r="3" spans="2:8" ht="12.75">
      <c r="B3" s="4" t="s">
        <v>2</v>
      </c>
      <c r="C3" s="148" t="s">
        <v>36</v>
      </c>
      <c r="D3" s="149"/>
      <c r="E3" s="149"/>
      <c r="F3" s="34" t="s">
        <v>121</v>
      </c>
      <c r="G3" s="33" t="s">
        <v>36</v>
      </c>
      <c r="H3" s="34"/>
    </row>
    <row r="4" spans="2:7" ht="12.75">
      <c r="B4" s="4" t="s">
        <v>3</v>
      </c>
      <c r="C4" s="148">
        <v>0</v>
      </c>
      <c r="D4" s="149"/>
      <c r="E4" s="149"/>
      <c r="F4" t="s">
        <v>120</v>
      </c>
      <c r="G4" s="69" t="s">
        <v>36</v>
      </c>
    </row>
    <row r="5" spans="2:5" ht="12.75">
      <c r="B5" s="4" t="s">
        <v>4</v>
      </c>
      <c r="C5" s="148">
        <v>1</v>
      </c>
      <c r="D5" s="149"/>
      <c r="E5" s="149"/>
    </row>
    <row r="6" spans="2:8" ht="12.75">
      <c r="B6" s="4" t="s">
        <v>16</v>
      </c>
      <c r="C6" s="148" t="s">
        <v>36</v>
      </c>
      <c r="D6" s="149"/>
      <c r="E6" s="149"/>
      <c r="F6" s="149"/>
      <c r="G6" s="149"/>
      <c r="H6" s="149"/>
    </row>
    <row r="7" spans="2:8" ht="12.75">
      <c r="B7" s="4" t="s">
        <v>5</v>
      </c>
      <c r="C7" s="2">
        <v>1</v>
      </c>
      <c r="D7" t="s">
        <v>8</v>
      </c>
      <c r="F7" s="99" t="s">
        <v>172</v>
      </c>
      <c r="G7" s="99"/>
      <c r="H7" s="108">
        <f>ROUND(I10+I11+I13,-4)</f>
        <v>2640000</v>
      </c>
    </row>
    <row r="8" ht="13.5" thickBot="1">
      <c r="E8" s="47" t="s">
        <v>36</v>
      </c>
    </row>
    <row r="9" spans="2:9" ht="12.75">
      <c r="B9" s="12" t="s">
        <v>32</v>
      </c>
      <c r="C9" s="87"/>
      <c r="D9" s="88" t="s">
        <v>107</v>
      </c>
      <c r="E9" s="88" t="s">
        <v>84</v>
      </c>
      <c r="F9" s="88" t="s">
        <v>85</v>
      </c>
      <c r="G9" s="154" t="s">
        <v>153</v>
      </c>
      <c r="H9" s="155"/>
      <c r="I9" s="97" t="s">
        <v>171</v>
      </c>
    </row>
    <row r="10" spans="2:9" ht="12.75">
      <c r="B10" s="13" t="s">
        <v>26</v>
      </c>
      <c r="C10" s="84">
        <f>H110+(H113*H111)</f>
        <v>393402.29931655555</v>
      </c>
      <c r="D10" s="85">
        <f>C10/$C$7</f>
        <v>393402.29931655555</v>
      </c>
      <c r="E10" s="83">
        <v>2006</v>
      </c>
      <c r="F10" s="86">
        <f>C10*(1+Database!H$3)^(E10-2005)</f>
        <v>409138.3912892178</v>
      </c>
      <c r="G10" s="150">
        <f>F10*(1+Database!C$3)</f>
        <v>409138.3912892178</v>
      </c>
      <c r="H10" s="151"/>
      <c r="I10" s="98">
        <f>G10/E$17</f>
        <v>204569.1956446089</v>
      </c>
    </row>
    <row r="11" spans="2:9" ht="12.75">
      <c r="B11" s="13" t="s">
        <v>82</v>
      </c>
      <c r="C11" s="84">
        <f>H107+(H108*H113)</f>
        <v>78680.45986331112</v>
      </c>
      <c r="D11" s="85">
        <f>C11/$C$7</f>
        <v>78680.45986331112</v>
      </c>
      <c r="E11" s="83">
        <v>2008</v>
      </c>
      <c r="F11" s="86">
        <f>C11*(1+Database!H$3)^(E11-2005)</f>
        <v>88504.8168036836</v>
      </c>
      <c r="G11" s="150">
        <f>F11*(1+Database!C$3)</f>
        <v>88504.8168036836</v>
      </c>
      <c r="H11" s="151"/>
      <c r="I11" s="98">
        <f>G11/E$17</f>
        <v>44252.4084018418</v>
      </c>
    </row>
    <row r="12" spans="2:9" ht="12.75">
      <c r="B12" s="13" t="s">
        <v>33</v>
      </c>
      <c r="C12" s="84">
        <f>H101+(H113*H102)</f>
        <v>0</v>
      </c>
      <c r="D12" s="85">
        <f>C12/$C$7</f>
        <v>0</v>
      </c>
      <c r="E12" s="83">
        <v>2008</v>
      </c>
      <c r="F12" s="86">
        <f>C12*(1+Database!H$3)^(E12-2005)</f>
        <v>0</v>
      </c>
      <c r="G12" s="150">
        <f>F12*(1+Database!C$3)</f>
        <v>0</v>
      </c>
      <c r="H12" s="151"/>
      <c r="I12" s="98">
        <f>G12/E$17</f>
        <v>0</v>
      </c>
    </row>
    <row r="13" spans="2:9" ht="12.75">
      <c r="B13" s="13" t="s">
        <v>34</v>
      </c>
      <c r="C13" s="84">
        <f>H84+(H113*H85)</f>
        <v>3934022.9931655554</v>
      </c>
      <c r="D13" s="85">
        <f>C13/$C$7</f>
        <v>3934022.9931655554</v>
      </c>
      <c r="E13" s="83">
        <v>2010</v>
      </c>
      <c r="F13" s="86">
        <f>C13*(1+Database!H$3)^(E13-2005)</f>
        <v>4786340.49274321</v>
      </c>
      <c r="G13" s="150">
        <f>F13*(1+Database!C$3)</f>
        <v>4786340.49274321</v>
      </c>
      <c r="H13" s="151"/>
      <c r="I13" s="98">
        <f>G13/E$17</f>
        <v>2393170.246371605</v>
      </c>
    </row>
    <row r="14" spans="2:9" ht="13.5" thickBot="1">
      <c r="B14" s="14" t="s">
        <v>35</v>
      </c>
      <c r="C14" s="89">
        <f>SUM(C10:C13)</f>
        <v>4406105.752345422</v>
      </c>
      <c r="D14" s="90">
        <f>C14/$C$7</f>
        <v>4406105.752345422</v>
      </c>
      <c r="E14" s="91" t="s">
        <v>35</v>
      </c>
      <c r="F14" s="89">
        <f>SUM(F10:F13)</f>
        <v>5283983.700836111</v>
      </c>
      <c r="G14" s="152">
        <f>F14*(1+Database!C$3)</f>
        <v>5283983.700836111</v>
      </c>
      <c r="H14" s="153"/>
      <c r="I14" s="98">
        <f>G14/E$17</f>
        <v>2641991.8504180554</v>
      </c>
    </row>
    <row r="15" ht="15">
      <c r="B15" s="5" t="s">
        <v>18</v>
      </c>
    </row>
    <row r="16" spans="2:9" ht="12.75">
      <c r="B16" s="15" t="s">
        <v>60</v>
      </c>
      <c r="C16" s="16" t="s">
        <v>7</v>
      </c>
      <c r="D16" s="16" t="s">
        <v>11</v>
      </c>
      <c r="E16" s="16" t="s">
        <v>10</v>
      </c>
      <c r="F16" s="16" t="s">
        <v>9</v>
      </c>
      <c r="G16" s="16"/>
      <c r="H16" s="17" t="s">
        <v>12</v>
      </c>
      <c r="I16" s="40" t="s">
        <v>16</v>
      </c>
    </row>
    <row r="17" spans="2:9" ht="12.75">
      <c r="B17" s="18" t="str">
        <f>Database!B5</f>
        <v>Surface Str. New Cst. base &amp; pave</v>
      </c>
      <c r="C17" s="6">
        <f>Database!C5</f>
        <v>338430.4</v>
      </c>
      <c r="D17" s="37">
        <v>1</v>
      </c>
      <c r="E17" s="37">
        <v>2</v>
      </c>
      <c r="F17" s="8">
        <f>D17*E17</f>
        <v>2</v>
      </c>
      <c r="G17" s="8"/>
      <c r="H17" s="19">
        <f>C17*F17</f>
        <v>676860.8</v>
      </c>
      <c r="I17" s="40"/>
    </row>
    <row r="18" spans="2:9" ht="12.75">
      <c r="B18" s="18" t="str">
        <f>Database!B6</f>
        <v>Surface Str. Widening base &amp; pave</v>
      </c>
      <c r="C18" s="6">
        <f>Database!C6</f>
        <v>338430.4</v>
      </c>
      <c r="D18" s="37">
        <v>0</v>
      </c>
      <c r="E18" s="37">
        <v>0</v>
      </c>
      <c r="F18" s="8">
        <f>D18*E18</f>
        <v>0</v>
      </c>
      <c r="G18" s="8"/>
      <c r="H18" s="19">
        <f>C18*F18</f>
        <v>0</v>
      </c>
      <c r="I18" s="40"/>
    </row>
    <row r="19" spans="2:9" ht="12.75">
      <c r="B19" s="18" t="str">
        <f>Database!B10</f>
        <v>Surface Street Overlay</v>
      </c>
      <c r="C19" s="6">
        <f>Database!C10</f>
        <v>47044.8</v>
      </c>
      <c r="D19" s="37">
        <v>1</v>
      </c>
      <c r="E19" s="37">
        <v>2</v>
      </c>
      <c r="F19" s="8">
        <f>D19*E19</f>
        <v>2</v>
      </c>
      <c r="G19" s="8"/>
      <c r="H19" s="19">
        <f>C19*F19</f>
        <v>94089.6</v>
      </c>
      <c r="I19" s="40"/>
    </row>
    <row r="20" spans="2:9" ht="12.75">
      <c r="B20" s="18" t="str">
        <f>Database!B11</f>
        <v>Surface Street Structural Overlay</v>
      </c>
      <c r="C20" s="6">
        <f>Database!C11</f>
        <v>105124.8</v>
      </c>
      <c r="D20" s="37">
        <v>0</v>
      </c>
      <c r="E20" s="7">
        <v>0</v>
      </c>
      <c r="F20" s="8">
        <f>D20*E20</f>
        <v>0</v>
      </c>
      <c r="G20" s="8"/>
      <c r="H20" s="19">
        <f>C20*F20</f>
        <v>0</v>
      </c>
      <c r="I20" s="40"/>
    </row>
    <row r="21" spans="2:9" ht="12.75">
      <c r="B21" s="18" t="str">
        <f>Database!B12</f>
        <v>Cross Streets widening</v>
      </c>
      <c r="C21" s="6">
        <f>Database!C12</f>
        <v>338430.4</v>
      </c>
      <c r="D21" s="37">
        <v>0.2</v>
      </c>
      <c r="E21" s="7">
        <v>2</v>
      </c>
      <c r="F21" s="8">
        <f>D21*E21</f>
        <v>0.4</v>
      </c>
      <c r="G21" s="8"/>
      <c r="H21" s="19">
        <f>C21*F21</f>
        <v>135372.16</v>
      </c>
      <c r="I21" s="40"/>
    </row>
    <row r="22" spans="3:9" ht="25.5">
      <c r="C22" s="6"/>
      <c r="D22" s="37"/>
      <c r="E22" s="7"/>
      <c r="F22" s="8"/>
      <c r="G22" s="8"/>
      <c r="H22" s="19"/>
      <c r="I22" s="40" t="s">
        <v>157</v>
      </c>
    </row>
    <row r="23" spans="2:9" ht="12.75">
      <c r="B23" s="18"/>
      <c r="C23" s="6"/>
      <c r="D23" s="77"/>
      <c r="E23" s="78" t="s">
        <v>128</v>
      </c>
      <c r="F23" s="8"/>
      <c r="G23" s="8"/>
      <c r="H23" s="19">
        <v>0.0001</v>
      </c>
      <c r="I23" s="95">
        <f>(H25+H27+H28+H43+H47+H48+H57)/H84</f>
        <v>0.3061751296554537</v>
      </c>
    </row>
    <row r="24" spans="2:9" ht="12.75">
      <c r="B24" s="18" t="str">
        <f>Database!B13</f>
        <v>Cross Street Overlay</v>
      </c>
      <c r="C24" s="6">
        <f>Database!C13</f>
        <v>17120.565</v>
      </c>
      <c r="D24" s="37">
        <v>1</v>
      </c>
      <c r="E24" s="37">
        <v>1</v>
      </c>
      <c r="F24" s="8"/>
      <c r="G24" s="8"/>
      <c r="H24" s="19">
        <f>C24*D24*E24</f>
        <v>17120.565</v>
      </c>
      <c r="I24" s="40"/>
    </row>
    <row r="25" spans="2:9" ht="12.75">
      <c r="B25" s="18" t="str">
        <f>Database!B16</f>
        <v>Traffic Control</v>
      </c>
      <c r="C25" s="6">
        <f>Database!C16</f>
        <v>180000</v>
      </c>
      <c r="D25" s="37">
        <v>1</v>
      </c>
      <c r="E25" s="37">
        <v>1</v>
      </c>
      <c r="F25" s="8"/>
      <c r="G25" s="8"/>
      <c r="H25" s="19">
        <f>C25*D25*E25</f>
        <v>180000</v>
      </c>
      <c r="I25" s="40"/>
    </row>
    <row r="26" spans="2:9" ht="12.75">
      <c r="B26" s="18" t="str">
        <f>Database!B17</f>
        <v>Typical Driveways</v>
      </c>
      <c r="C26" s="6">
        <f>Database!C17</f>
        <v>85000</v>
      </c>
      <c r="D26" s="37">
        <v>1</v>
      </c>
      <c r="E26" s="37">
        <v>1</v>
      </c>
      <c r="F26" s="8"/>
      <c r="G26" s="8"/>
      <c r="H26" s="19">
        <f aca="true" t="shared" si="0" ref="H26:H39">C26*D26*E26</f>
        <v>85000</v>
      </c>
      <c r="I26" s="40"/>
    </row>
    <row r="27" spans="2:9" ht="12.75">
      <c r="B27" s="18" t="str">
        <f>Database!B18</f>
        <v>Typical E &amp; S Control Temp&amp;Perm</v>
      </c>
      <c r="C27" s="6">
        <f>Database!C18</f>
        <v>165000</v>
      </c>
      <c r="D27" s="37">
        <v>1</v>
      </c>
      <c r="E27" s="37">
        <v>1</v>
      </c>
      <c r="F27" s="8"/>
      <c r="G27" s="8"/>
      <c r="H27" s="19">
        <f t="shared" si="0"/>
        <v>165000</v>
      </c>
      <c r="I27" s="40"/>
    </row>
    <row r="28" spans="2:9" ht="12.75">
      <c r="B28" s="18" t="str">
        <f>Database!B21</f>
        <v>Typical Earthwork</v>
      </c>
      <c r="C28" s="6">
        <f>Database!C21</f>
        <v>750000</v>
      </c>
      <c r="D28" s="37">
        <v>1</v>
      </c>
      <c r="E28" s="37">
        <v>1</v>
      </c>
      <c r="F28" s="8"/>
      <c r="G28" s="8"/>
      <c r="H28" s="19">
        <f t="shared" si="0"/>
        <v>750000</v>
      </c>
      <c r="I28" s="40"/>
    </row>
    <row r="29" spans="2:9" ht="12.75">
      <c r="B29" s="18" t="str">
        <f>Database!B24</f>
        <v>Typical Drainage - Urban Section</v>
      </c>
      <c r="C29" s="6">
        <f>Database!C24</f>
        <v>596000</v>
      </c>
      <c r="D29" s="37">
        <v>1</v>
      </c>
      <c r="E29" s="37">
        <v>1</v>
      </c>
      <c r="F29" s="8"/>
      <c r="G29" s="8"/>
      <c r="H29" s="19">
        <f t="shared" si="0"/>
        <v>596000</v>
      </c>
      <c r="I29" s="40"/>
    </row>
    <row r="30" spans="2:9" ht="12.75">
      <c r="B30" s="18" t="str">
        <f>Database!B28</f>
        <v>Curb &amp; Gutter both sides (mile)</v>
      </c>
      <c r="C30" s="6">
        <f>Database!C28</f>
        <v>211200</v>
      </c>
      <c r="D30" s="37">
        <v>1</v>
      </c>
      <c r="E30" s="37">
        <v>1</v>
      </c>
      <c r="F30" s="8"/>
      <c r="G30" s="8"/>
      <c r="H30" s="19">
        <f t="shared" si="0"/>
        <v>211200</v>
      </c>
      <c r="I30" s="40"/>
    </row>
    <row r="31" spans="2:9" ht="12.75">
      <c r="B31" s="18" t="str">
        <f>Database!B29</f>
        <v>Typical Drainage - Rural Section</v>
      </c>
      <c r="C31" s="6">
        <f>Database!C29</f>
        <v>120000</v>
      </c>
      <c r="D31" s="37">
        <v>0</v>
      </c>
      <c r="E31" s="37">
        <v>1</v>
      </c>
      <c r="F31" s="8"/>
      <c r="G31" s="8"/>
      <c r="H31" s="19">
        <f t="shared" si="0"/>
        <v>0</v>
      </c>
      <c r="I31" s="40"/>
    </row>
    <row r="32" spans="2:9" ht="12.75">
      <c r="B32" s="18" t="str">
        <f>Database!B30</f>
        <v>Signing &amp; Marking</v>
      </c>
      <c r="C32" s="6">
        <f>Database!C30</f>
        <v>38000</v>
      </c>
      <c r="D32" s="37">
        <v>1</v>
      </c>
      <c r="E32" s="37">
        <v>1</v>
      </c>
      <c r="F32" s="8"/>
      <c r="G32" s="8"/>
      <c r="H32" s="19">
        <f t="shared" si="0"/>
        <v>38000</v>
      </c>
      <c r="I32" s="40"/>
    </row>
    <row r="33" spans="2:9" ht="12.75">
      <c r="B33" s="18" t="str">
        <f>Database!B31</f>
        <v>Typical Clear &amp; Grub-120 ft wide</v>
      </c>
      <c r="C33" s="6">
        <f>Database!C31</f>
        <v>116363.63636363635</v>
      </c>
      <c r="D33" s="37">
        <v>1</v>
      </c>
      <c r="E33" s="37">
        <v>1</v>
      </c>
      <c r="F33" s="8" t="s">
        <v>36</v>
      </c>
      <c r="G33" s="8"/>
      <c r="H33" s="19">
        <f t="shared" si="0"/>
        <v>116363.63636363635</v>
      </c>
      <c r="I33" s="40"/>
    </row>
    <row r="34" spans="2:9" ht="12.75">
      <c r="B34" s="18" t="str">
        <f>Database!B32</f>
        <v>Typical Guardrail</v>
      </c>
      <c r="C34" s="6">
        <f>Database!C32</f>
        <v>38000</v>
      </c>
      <c r="D34" s="37">
        <v>1</v>
      </c>
      <c r="E34" s="37">
        <v>1</v>
      </c>
      <c r="F34" s="8"/>
      <c r="G34" s="8"/>
      <c r="H34" s="19">
        <f t="shared" si="0"/>
        <v>38000</v>
      </c>
      <c r="I34" s="40"/>
    </row>
    <row r="35" spans="2:9" ht="12.75">
      <c r="B35" s="18" t="str">
        <f>Database!B33</f>
        <v>20ft. Raised median +C&amp;G (mile)</v>
      </c>
      <c r="C35" s="6">
        <f>Database!C33</f>
        <v>255644.44444444444</v>
      </c>
      <c r="D35" s="37">
        <v>1</v>
      </c>
      <c r="E35" s="37">
        <v>1</v>
      </c>
      <c r="F35" s="8"/>
      <c r="G35" s="8"/>
      <c r="H35" s="19">
        <f t="shared" si="0"/>
        <v>255644.44444444444</v>
      </c>
      <c r="I35" s="40"/>
    </row>
    <row r="36" spans="2:9" ht="12.75">
      <c r="B36" s="18" t="str">
        <f>Database!B34</f>
        <v>Median landscaping</v>
      </c>
      <c r="C36" s="6">
        <f>Database!C34</f>
        <v>30000</v>
      </c>
      <c r="D36" s="37">
        <v>1</v>
      </c>
      <c r="E36" s="37">
        <v>1</v>
      </c>
      <c r="F36" s="8"/>
      <c r="G36" s="8"/>
      <c r="H36" s="19">
        <f t="shared" si="0"/>
        <v>30000</v>
      </c>
      <c r="I36" s="40"/>
    </row>
    <row r="37" spans="2:9" ht="12.75">
      <c r="B37" s="18" t="str">
        <f>Database!B35</f>
        <v>Sidewalks 5 ft. ea.side (mile)</v>
      </c>
      <c r="C37" s="6">
        <f>Database!C35</f>
        <v>187733.33333333334</v>
      </c>
      <c r="D37" s="37">
        <v>1</v>
      </c>
      <c r="E37" s="37">
        <v>1</v>
      </c>
      <c r="F37" s="8"/>
      <c r="G37" s="8"/>
      <c r="H37" s="19">
        <f t="shared" si="0"/>
        <v>187733.33333333334</v>
      </c>
      <c r="I37" s="40"/>
    </row>
    <row r="38" spans="2:9" ht="12.75">
      <c r="B38" s="18"/>
      <c r="C38" s="6"/>
      <c r="D38" s="7"/>
      <c r="E38" s="9"/>
      <c r="F38" s="8"/>
      <c r="G38" s="8"/>
      <c r="H38" s="19">
        <f t="shared" si="0"/>
        <v>0</v>
      </c>
      <c r="I38" s="40"/>
    </row>
    <row r="39" spans="2:9" ht="12.75">
      <c r="B39" s="22"/>
      <c r="C39" s="27"/>
      <c r="D39" s="63"/>
      <c r="E39" s="64"/>
      <c r="F39" s="23"/>
      <c r="G39" s="23"/>
      <c r="H39" s="19">
        <f t="shared" si="0"/>
        <v>0</v>
      </c>
      <c r="I39" s="40"/>
    </row>
    <row r="40" spans="2:10" ht="12.75">
      <c r="B40" s="18"/>
      <c r="C40" s="6"/>
      <c r="D40" s="9"/>
      <c r="E40" s="9"/>
      <c r="F40" s="8"/>
      <c r="G40" s="38" t="s">
        <v>15</v>
      </c>
      <c r="H40" s="39">
        <f>SUM(H17:H39)</f>
        <v>3576384.539241414</v>
      </c>
      <c r="I40" s="68" t="s">
        <v>36</v>
      </c>
      <c r="J40" t="s">
        <v>36</v>
      </c>
    </row>
    <row r="41" spans="2:9" ht="12.75">
      <c r="B41" s="18"/>
      <c r="C41" s="8"/>
      <c r="D41" s="8"/>
      <c r="E41" s="8"/>
      <c r="F41" s="8"/>
      <c r="G41" s="8"/>
      <c r="H41" s="20"/>
      <c r="I41" s="40"/>
    </row>
    <row r="42" spans="2:9" ht="12.75">
      <c r="B42" s="21" t="s">
        <v>13</v>
      </c>
      <c r="C42" s="8" t="s">
        <v>7</v>
      </c>
      <c r="D42" s="8" t="s">
        <v>47</v>
      </c>
      <c r="E42" s="9" t="s">
        <v>44</v>
      </c>
      <c r="F42" s="8"/>
      <c r="G42" s="8"/>
      <c r="H42" s="20" t="s">
        <v>12</v>
      </c>
      <c r="I42" s="41" t="s">
        <v>16</v>
      </c>
    </row>
    <row r="43" spans="2:9" ht="12.75">
      <c r="B43" s="18" t="str">
        <f>Database!B38</f>
        <v>Add'l Major Earthwork (mile)</v>
      </c>
      <c r="C43" s="6">
        <f>Database!C38</f>
        <v>250000</v>
      </c>
      <c r="D43" s="37">
        <v>0</v>
      </c>
      <c r="E43" s="37">
        <v>1</v>
      </c>
      <c r="F43" s="8"/>
      <c r="G43" s="8"/>
      <c r="H43" s="19">
        <f aca="true" t="shared" si="1" ref="H43:H57">C43*D43*E43</f>
        <v>0</v>
      </c>
      <c r="I43" s="40" t="s">
        <v>52</v>
      </c>
    </row>
    <row r="44" spans="2:9" ht="12.75">
      <c r="B44" s="18" t="str">
        <f>Database!B39</f>
        <v>Add'l Major Drainage (mile)</v>
      </c>
      <c r="C44" s="6">
        <f>Database!C39</f>
        <v>100000</v>
      </c>
      <c r="D44" s="37">
        <v>0</v>
      </c>
      <c r="E44" s="37">
        <v>1</v>
      </c>
      <c r="F44" s="8"/>
      <c r="G44" s="8"/>
      <c r="H44" s="19">
        <f t="shared" si="1"/>
        <v>0</v>
      </c>
      <c r="I44" s="40" t="s">
        <v>59</v>
      </c>
    </row>
    <row r="45" spans="2:9" ht="12.75">
      <c r="B45" s="18" t="str">
        <f>Database!B40</f>
        <v>Add'l Major Grade changes (mile)</v>
      </c>
      <c r="C45" s="6">
        <f>Database!C40</f>
        <v>250000</v>
      </c>
      <c r="D45" s="37">
        <v>0</v>
      </c>
      <c r="E45" s="37">
        <v>1</v>
      </c>
      <c r="F45" s="8"/>
      <c r="G45" s="8"/>
      <c r="H45" s="19">
        <f t="shared" si="1"/>
        <v>0</v>
      </c>
      <c r="I45" s="40" t="s">
        <v>53</v>
      </c>
    </row>
    <row r="46" spans="2:9" ht="12.75">
      <c r="B46" s="18" t="str">
        <f>Database!B41</f>
        <v>Major alignment corrections (mile)</v>
      </c>
      <c r="C46" s="6">
        <f>Database!C41</f>
        <v>600000</v>
      </c>
      <c r="D46" s="37">
        <v>0</v>
      </c>
      <c r="E46" s="37">
        <v>1</v>
      </c>
      <c r="F46" s="8"/>
      <c r="G46" s="8"/>
      <c r="H46" s="19">
        <f t="shared" si="1"/>
        <v>0</v>
      </c>
      <c r="I46" s="40"/>
    </row>
    <row r="47" spans="2:9" ht="12.75">
      <c r="B47" s="18" t="str">
        <f>Database!B42</f>
        <v>Maint of Traffic difficulty (mile)</v>
      </c>
      <c r="C47" s="6">
        <f>Database!C42</f>
        <v>100000</v>
      </c>
      <c r="D47" s="37">
        <v>0</v>
      </c>
      <c r="E47" s="37">
        <v>4</v>
      </c>
      <c r="F47" s="8"/>
      <c r="G47" s="8"/>
      <c r="H47" s="19">
        <f t="shared" si="1"/>
        <v>0</v>
      </c>
      <c r="I47" s="40"/>
    </row>
    <row r="48" spans="2:9" ht="12.75">
      <c r="B48" s="18" t="str">
        <f>Database!B43</f>
        <v>Precast barrier Method 3  (ft)</v>
      </c>
      <c r="C48" s="6">
        <f>Database!C43</f>
        <v>40</v>
      </c>
      <c r="D48" s="37">
        <v>0</v>
      </c>
      <c r="E48" s="37">
        <v>1</v>
      </c>
      <c r="F48" s="8"/>
      <c r="G48" s="8"/>
      <c r="H48" s="19">
        <f t="shared" si="1"/>
        <v>0</v>
      </c>
      <c r="I48" s="40"/>
    </row>
    <row r="49" spans="2:9" ht="12.75">
      <c r="B49" s="18" t="str">
        <f>Database!B45</f>
        <v>Add'l guardrail (mile)</v>
      </c>
      <c r="C49" s="6">
        <f>Database!C45</f>
        <v>50000</v>
      </c>
      <c r="D49" s="37">
        <v>0</v>
      </c>
      <c r="E49" s="37">
        <v>1</v>
      </c>
      <c r="F49" s="8"/>
      <c r="G49" s="8"/>
      <c r="H49" s="19">
        <f t="shared" si="1"/>
        <v>0</v>
      </c>
      <c r="I49" s="40"/>
    </row>
    <row r="50" spans="2:9" ht="12.75">
      <c r="B50" s="18" t="str">
        <f>Database!B46</f>
        <v>Paved Shoulders, 4 ft, 2 sides(mile)</v>
      </c>
      <c r="C50" s="6">
        <f>Database!C46</f>
        <v>100000</v>
      </c>
      <c r="D50" s="37">
        <v>0</v>
      </c>
      <c r="E50" s="37">
        <v>1</v>
      </c>
      <c r="F50" s="8"/>
      <c r="G50" s="8"/>
      <c r="H50" s="19">
        <f t="shared" si="1"/>
        <v>0</v>
      </c>
      <c r="I50" s="40"/>
    </row>
    <row r="51" spans="2:9" ht="12.75">
      <c r="B51" s="18" t="str">
        <f>Database!B47</f>
        <v>blank</v>
      </c>
      <c r="C51" s="6">
        <f>Database!C47</f>
        <v>0</v>
      </c>
      <c r="D51" s="37">
        <v>0</v>
      </c>
      <c r="E51" s="37">
        <v>1</v>
      </c>
      <c r="F51" s="8"/>
      <c r="G51" s="8"/>
      <c r="H51" s="19">
        <f t="shared" si="1"/>
        <v>0</v>
      </c>
      <c r="I51" s="40"/>
    </row>
    <row r="52" spans="2:9" ht="12.75">
      <c r="B52" s="18" t="str">
        <f>Database!B48</f>
        <v>blank</v>
      </c>
      <c r="C52" s="6">
        <f>Database!C48</f>
        <v>0</v>
      </c>
      <c r="D52" s="37">
        <v>0</v>
      </c>
      <c r="E52" s="37">
        <v>1</v>
      </c>
      <c r="F52" s="8"/>
      <c r="G52" s="8"/>
      <c r="H52" s="19">
        <f t="shared" si="1"/>
        <v>0</v>
      </c>
      <c r="I52" s="40"/>
    </row>
    <row r="53" spans="2:9" ht="12.75">
      <c r="B53" s="18" t="str">
        <f>Database!B49</f>
        <v>Bikeway, 4 feet, both side (mile)</v>
      </c>
      <c r="C53" s="6">
        <f>Database!C49</f>
        <v>225620.2666666667</v>
      </c>
      <c r="D53" s="37">
        <v>0</v>
      </c>
      <c r="E53" s="37">
        <v>1</v>
      </c>
      <c r="F53" s="8"/>
      <c r="G53" s="8"/>
      <c r="H53" s="19">
        <f t="shared" si="1"/>
        <v>0</v>
      </c>
      <c r="I53" s="40" t="s">
        <v>58</v>
      </c>
    </row>
    <row r="54" spans="2:9" ht="12.75">
      <c r="B54" s="18" t="str">
        <f>Database!B50</f>
        <v>Add'l driveways (mile)</v>
      </c>
      <c r="C54" s="6">
        <f>Database!C50</f>
        <v>75000</v>
      </c>
      <c r="D54" s="37">
        <v>0</v>
      </c>
      <c r="E54" s="37">
        <v>1</v>
      </c>
      <c r="F54" s="8"/>
      <c r="G54" s="8"/>
      <c r="H54" s="19">
        <f t="shared" si="1"/>
        <v>0</v>
      </c>
      <c r="I54" s="40" t="s">
        <v>54</v>
      </c>
    </row>
    <row r="55" spans="2:9" ht="12.75">
      <c r="B55" s="18" t="str">
        <f>Database!B51</f>
        <v>Cl. B Conc. Base or pvmt widening</v>
      </c>
      <c r="C55" s="6">
        <f>Database!C51</f>
        <v>15000</v>
      </c>
      <c r="D55" s="37">
        <v>0</v>
      </c>
      <c r="E55" s="37">
        <v>1</v>
      </c>
      <c r="F55" s="8"/>
      <c r="G55" s="8"/>
      <c r="H55" s="19">
        <f t="shared" si="1"/>
        <v>0</v>
      </c>
      <c r="I55" s="40"/>
    </row>
    <row r="56" spans="2:9" ht="12.75">
      <c r="B56" s="18" t="str">
        <f>Database!B52</f>
        <v>blank</v>
      </c>
      <c r="C56" s="6">
        <f>Database!C52</f>
        <v>0</v>
      </c>
      <c r="D56" s="37"/>
      <c r="E56" s="37"/>
      <c r="F56" s="8"/>
      <c r="G56" s="8"/>
      <c r="H56" s="19">
        <f t="shared" si="1"/>
        <v>0</v>
      </c>
      <c r="I56" s="40" t="s">
        <v>55</v>
      </c>
    </row>
    <row r="57" spans="2:9" ht="12.75">
      <c r="B57" s="18" t="str">
        <f>Database!B53</f>
        <v>Special E&amp;S control</v>
      </c>
      <c r="C57" s="6">
        <f>Database!C53</f>
        <v>0</v>
      </c>
      <c r="D57" s="37"/>
      <c r="E57" s="37"/>
      <c r="F57" s="8"/>
      <c r="G57" s="8"/>
      <c r="H57" s="19">
        <f t="shared" si="1"/>
        <v>0</v>
      </c>
      <c r="I57" s="40"/>
    </row>
    <row r="58" spans="2:9" ht="12.75">
      <c r="B58" s="18"/>
      <c r="C58" s="6"/>
      <c r="D58" s="37"/>
      <c r="E58" s="37"/>
      <c r="F58" s="8"/>
      <c r="G58" s="8"/>
      <c r="H58" s="19"/>
      <c r="I58" s="40"/>
    </row>
    <row r="59" spans="2:9" ht="12.75">
      <c r="B59" s="18"/>
      <c r="C59" s="6"/>
      <c r="D59" s="37"/>
      <c r="E59" s="37"/>
      <c r="F59" s="8"/>
      <c r="G59" s="8"/>
      <c r="H59" s="19"/>
      <c r="I59" s="40"/>
    </row>
    <row r="60" spans="2:9" ht="12.75">
      <c r="B60" s="18"/>
      <c r="C60" s="6"/>
      <c r="D60" s="37"/>
      <c r="E60" s="37"/>
      <c r="F60" s="8"/>
      <c r="G60" s="8"/>
      <c r="H60" s="19">
        <f>C60*D60*E60</f>
        <v>0</v>
      </c>
      <c r="I60" s="40"/>
    </row>
    <row r="61" spans="2:10" ht="12.75">
      <c r="B61" s="18"/>
      <c r="C61" s="8"/>
      <c r="D61" s="8"/>
      <c r="E61" s="8"/>
      <c r="F61" s="8"/>
      <c r="G61" s="38" t="s">
        <v>15</v>
      </c>
      <c r="H61" s="39">
        <f>SUM(H43:H60)</f>
        <v>0</v>
      </c>
      <c r="I61" s="68" t="s">
        <v>36</v>
      </c>
      <c r="J61" t="s">
        <v>36</v>
      </c>
    </row>
    <row r="62" spans="2:9" ht="12.75">
      <c r="B62" s="18"/>
      <c r="C62" s="8"/>
      <c r="D62" s="8"/>
      <c r="E62" s="8"/>
      <c r="F62" s="8"/>
      <c r="G62" s="8"/>
      <c r="H62" s="20"/>
      <c r="I62" s="40"/>
    </row>
    <row r="63" spans="2:9" ht="12.75">
      <c r="B63" s="21" t="s">
        <v>14</v>
      </c>
      <c r="C63" s="6" t="s">
        <v>7</v>
      </c>
      <c r="D63" s="8" t="s">
        <v>77</v>
      </c>
      <c r="E63" s="8" t="s">
        <v>37</v>
      </c>
      <c r="F63" s="9" t="s">
        <v>78</v>
      </c>
      <c r="G63" s="8"/>
      <c r="H63" s="20" t="s">
        <v>12</v>
      </c>
      <c r="I63" s="41" t="s">
        <v>16</v>
      </c>
    </row>
    <row r="64" spans="2:9" ht="12.75">
      <c r="B64" s="18" t="str">
        <f>Database!B55</f>
        <v>Retaining Walls - Gravity 0 - 5' (LF)</v>
      </c>
      <c r="C64" s="6">
        <f>Database!C55</f>
        <v>50</v>
      </c>
      <c r="D64" s="7">
        <v>0</v>
      </c>
      <c r="E64" s="8"/>
      <c r="F64" s="8"/>
      <c r="G64" s="8"/>
      <c r="H64" s="19">
        <f>C64*D64</f>
        <v>0</v>
      </c>
      <c r="I64" s="40"/>
    </row>
    <row r="65" spans="2:9" ht="12.75">
      <c r="B65" s="18" t="str">
        <f>Database!B56</f>
        <v>Retaining Walls-Gravity 5'-max (LF)</v>
      </c>
      <c r="C65" s="6">
        <f>Database!C56</f>
        <v>120</v>
      </c>
      <c r="D65" s="7">
        <v>0</v>
      </c>
      <c r="E65" s="8"/>
      <c r="F65" s="8"/>
      <c r="G65" s="8"/>
      <c r="H65" s="19">
        <f>C65*D65</f>
        <v>0</v>
      </c>
      <c r="I65" s="40"/>
    </row>
    <row r="66" spans="2:9" ht="12.75">
      <c r="B66" s="18" t="str">
        <f>Database!B57</f>
        <v>Retaining Walls-Special Design(SF)</v>
      </c>
      <c r="C66" s="6">
        <f>Database!C57</f>
        <v>60</v>
      </c>
      <c r="D66" s="7">
        <v>0</v>
      </c>
      <c r="E66" s="8"/>
      <c r="F66" s="7">
        <v>12</v>
      </c>
      <c r="G66" s="8"/>
      <c r="H66" s="19">
        <f>C66*D66*F66</f>
        <v>0</v>
      </c>
      <c r="I66" s="40" t="s">
        <v>50</v>
      </c>
    </row>
    <row r="67" spans="2:9" ht="12.75">
      <c r="B67" s="18" t="str">
        <f>Database!B58</f>
        <v>Bridges - widen (SF)</v>
      </c>
      <c r="C67" s="6">
        <f>Database!C58</f>
        <v>85</v>
      </c>
      <c r="D67" s="7">
        <v>0</v>
      </c>
      <c r="E67" s="7">
        <v>0</v>
      </c>
      <c r="F67" s="8"/>
      <c r="G67" s="8"/>
      <c r="H67" s="19">
        <f aca="true" t="shared" si="2" ref="H67:H75">C67*D67*E67</f>
        <v>0</v>
      </c>
      <c r="I67" s="40" t="s">
        <v>57</v>
      </c>
    </row>
    <row r="68" spans="2:9" ht="12.75">
      <c r="B68" s="18" t="str">
        <f>Database!B59</f>
        <v>Bridges - widen (SF)</v>
      </c>
      <c r="C68" s="6">
        <f>Database!C59</f>
        <v>85</v>
      </c>
      <c r="D68" s="7">
        <v>0</v>
      </c>
      <c r="E68" s="7">
        <v>0</v>
      </c>
      <c r="F68" s="8"/>
      <c r="G68" s="8"/>
      <c r="H68" s="19">
        <f t="shared" si="2"/>
        <v>0</v>
      </c>
      <c r="I68" s="40"/>
    </row>
    <row r="69" spans="2:9" ht="15.75" customHeight="1">
      <c r="B69" s="18" t="str">
        <f>Database!B60</f>
        <v>Bridges - replace (SF)</v>
      </c>
      <c r="C69" s="6">
        <f>Database!C60</f>
        <v>85</v>
      </c>
      <c r="D69" s="7">
        <v>0</v>
      </c>
      <c r="E69" s="7">
        <v>0</v>
      </c>
      <c r="F69" s="8"/>
      <c r="G69" s="8"/>
      <c r="H69" s="19">
        <f t="shared" si="2"/>
        <v>0</v>
      </c>
      <c r="I69" s="40" t="s">
        <v>51</v>
      </c>
    </row>
    <row r="70" spans="2:9" ht="12.75">
      <c r="B70" s="18" t="str">
        <f>Database!B61</f>
        <v>Bridges - replace (SF)</v>
      </c>
      <c r="C70" s="6">
        <f>Database!C61</f>
        <v>85</v>
      </c>
      <c r="D70" s="7">
        <v>0</v>
      </c>
      <c r="E70" s="7">
        <v>0</v>
      </c>
      <c r="F70" s="8"/>
      <c r="G70" s="8"/>
      <c r="H70" s="19">
        <f t="shared" si="2"/>
        <v>0</v>
      </c>
      <c r="I70" s="40" t="s">
        <v>49</v>
      </c>
    </row>
    <row r="71" spans="2:9" ht="12.75">
      <c r="B71" s="18" t="str">
        <f>Database!B63</f>
        <v>Bridges - detour (SF)</v>
      </c>
      <c r="C71" s="6">
        <f>Database!C63</f>
        <v>40</v>
      </c>
      <c r="D71" s="7">
        <v>0</v>
      </c>
      <c r="E71" s="7">
        <v>0</v>
      </c>
      <c r="F71" s="8"/>
      <c r="G71" s="8"/>
      <c r="H71" s="19">
        <f t="shared" si="2"/>
        <v>0</v>
      </c>
      <c r="I71" s="40" t="s">
        <v>56</v>
      </c>
    </row>
    <row r="72" spans="2:9" ht="12.75">
      <c r="B72" s="18" t="str">
        <f>Database!B64</f>
        <v>Bridge Removal (SF)</v>
      </c>
      <c r="C72" s="6">
        <f>Database!C64</f>
        <v>15</v>
      </c>
      <c r="D72" s="7">
        <v>0</v>
      </c>
      <c r="E72" s="7">
        <v>0</v>
      </c>
      <c r="F72" s="8"/>
      <c r="G72" s="8"/>
      <c r="H72" s="19">
        <f t="shared" si="2"/>
        <v>0</v>
      </c>
      <c r="I72" s="40"/>
    </row>
    <row r="73" spans="2:9" ht="12.75">
      <c r="B73" s="18" t="str">
        <f>Database!B65</f>
        <v>Cofferdams (ea)</v>
      </c>
      <c r="C73" s="6">
        <f>Database!C65</f>
        <v>15000</v>
      </c>
      <c r="D73" s="7">
        <v>0</v>
      </c>
      <c r="E73" s="9"/>
      <c r="F73" s="8"/>
      <c r="G73" s="8"/>
      <c r="H73" s="19">
        <f>C73*D73</f>
        <v>0</v>
      </c>
      <c r="I73" s="40"/>
    </row>
    <row r="74" spans="2:9" ht="12.75">
      <c r="B74" s="18" t="str">
        <f>Database!B66</f>
        <v>Box Culverts (SF)</v>
      </c>
      <c r="C74" s="6">
        <f>Database!C66</f>
        <v>80</v>
      </c>
      <c r="D74" s="7">
        <v>0</v>
      </c>
      <c r="E74" s="7">
        <v>0</v>
      </c>
      <c r="F74" s="8"/>
      <c r="G74" s="8"/>
      <c r="H74" s="19">
        <f t="shared" si="2"/>
        <v>0</v>
      </c>
      <c r="I74" s="40"/>
    </row>
    <row r="75" spans="2:9" ht="12.75">
      <c r="B75" s="18" t="str">
        <f>Database!B67</f>
        <v>Box Culverts (SF)</v>
      </c>
      <c r="C75" s="6">
        <f>Database!C67</f>
        <v>80</v>
      </c>
      <c r="D75" s="7">
        <v>0</v>
      </c>
      <c r="E75" s="7">
        <v>0</v>
      </c>
      <c r="F75" s="8"/>
      <c r="G75" s="8"/>
      <c r="H75" s="19">
        <f t="shared" si="2"/>
        <v>0</v>
      </c>
      <c r="I75" s="40"/>
    </row>
    <row r="76" spans="2:9" ht="12.75">
      <c r="B76" s="18" t="str">
        <f>Database!B68</f>
        <v>Large cross drains (LF)</v>
      </c>
      <c r="C76" s="6">
        <f>Database!C68</f>
        <v>60</v>
      </c>
      <c r="D76" s="7">
        <v>0</v>
      </c>
      <c r="E76" s="8"/>
      <c r="F76" s="8"/>
      <c r="G76" s="8"/>
      <c r="H76" s="19">
        <f aca="true" t="shared" si="3" ref="H76:H81">C76*D76</f>
        <v>0</v>
      </c>
      <c r="I76" s="40"/>
    </row>
    <row r="77" spans="2:9" ht="12.75">
      <c r="B77" s="18" t="str">
        <f>Database!B69</f>
        <v>Replace cross drains (LF)</v>
      </c>
      <c r="C77" s="6">
        <f>Database!C69</f>
        <v>100</v>
      </c>
      <c r="D77" s="7">
        <v>0</v>
      </c>
      <c r="E77" s="8"/>
      <c r="F77" s="8"/>
      <c r="G77" s="8"/>
      <c r="H77" s="19">
        <f t="shared" si="3"/>
        <v>0</v>
      </c>
      <c r="I77" s="40"/>
    </row>
    <row r="78" spans="2:9" ht="12.75">
      <c r="B78" s="18" t="str">
        <f>Database!B70</f>
        <v>Sediment/ detention ponds (ea)</v>
      </c>
      <c r="C78" s="6">
        <f>Database!C70</f>
        <v>20000</v>
      </c>
      <c r="D78" s="7">
        <v>0</v>
      </c>
      <c r="E78" s="8"/>
      <c r="F78" s="8"/>
      <c r="G78" s="8"/>
      <c r="H78" s="19">
        <f t="shared" si="3"/>
        <v>0</v>
      </c>
      <c r="I78" s="40"/>
    </row>
    <row r="79" spans="2:9" ht="12.75">
      <c r="B79" s="18" t="str">
        <f>Database!B71</f>
        <v>Pavement patching (Sq yd)</v>
      </c>
      <c r="C79" s="6">
        <f>Database!C71</f>
        <v>20</v>
      </c>
      <c r="D79" s="37">
        <v>0</v>
      </c>
      <c r="E79" s="37">
        <v>1</v>
      </c>
      <c r="F79" s="8"/>
      <c r="G79" s="8"/>
      <c r="H79" s="19">
        <f>C79*(D79*E79/9)</f>
        <v>0</v>
      </c>
      <c r="I79" s="40"/>
    </row>
    <row r="80" spans="2:9" ht="12.75">
      <c r="B80" s="18" t="str">
        <f>Database!B72</f>
        <v> </v>
      </c>
      <c r="C80" s="6">
        <f>Database!C72</f>
        <v>0</v>
      </c>
      <c r="D80" s="7"/>
      <c r="E80" s="8"/>
      <c r="F80" s="8"/>
      <c r="G80" s="8"/>
      <c r="H80" s="19">
        <f t="shared" si="3"/>
        <v>0</v>
      </c>
      <c r="I80" s="40"/>
    </row>
    <row r="81" spans="2:9" ht="12.75">
      <c r="B81" s="18" t="str">
        <f>Database!B73</f>
        <v>Traffic Signalization / Upgrade (ea)</v>
      </c>
      <c r="C81" s="6">
        <v>200000</v>
      </c>
      <c r="D81" s="7">
        <v>0</v>
      </c>
      <c r="E81" s="8"/>
      <c r="F81" s="8"/>
      <c r="G81" s="8"/>
      <c r="H81" s="19">
        <f t="shared" si="3"/>
        <v>0</v>
      </c>
      <c r="I81" s="40"/>
    </row>
    <row r="82" spans="2:10" ht="12.75">
      <c r="B82" s="18"/>
      <c r="C82" s="8"/>
      <c r="D82" s="8"/>
      <c r="E82" s="8"/>
      <c r="F82" s="8"/>
      <c r="G82" s="38" t="s">
        <v>15</v>
      </c>
      <c r="H82" s="39">
        <f>SUM(H64:H81)</f>
        <v>0</v>
      </c>
      <c r="I82" s="68" t="s">
        <v>36</v>
      </c>
      <c r="J82" t="s">
        <v>36</v>
      </c>
    </row>
    <row r="83" spans="2:9" ht="12.75">
      <c r="B83" s="18"/>
      <c r="C83" s="8"/>
      <c r="D83" s="8"/>
      <c r="E83" s="8"/>
      <c r="F83" s="8"/>
      <c r="G83" s="8"/>
      <c r="H83" s="20"/>
      <c r="I83" s="40"/>
    </row>
    <row r="84" spans="2:10" ht="12.75">
      <c r="B84" s="22"/>
      <c r="C84" s="23"/>
      <c r="D84" s="23"/>
      <c r="E84" s="23"/>
      <c r="F84" s="23"/>
      <c r="G84" s="24" t="s">
        <v>17</v>
      </c>
      <c r="H84" s="25">
        <f>H40+H61+H82</f>
        <v>3576384.539241414</v>
      </c>
      <c r="I84" s="68" t="s">
        <v>36</v>
      </c>
      <c r="J84" t="s">
        <v>36</v>
      </c>
    </row>
    <row r="85" spans="8:9" ht="12.75">
      <c r="H85" s="52">
        <f>H84/$H$114</f>
        <v>0.8928571428571429</v>
      </c>
      <c r="I85" s="40"/>
    </row>
    <row r="86" spans="2:9" ht="15">
      <c r="B86" s="5" t="s">
        <v>19</v>
      </c>
      <c r="I86" s="40"/>
    </row>
    <row r="87" spans="2:9" ht="12.75">
      <c r="B87" s="26" t="s">
        <v>20</v>
      </c>
      <c r="C87" s="16" t="s">
        <v>39</v>
      </c>
      <c r="D87" s="16" t="s">
        <v>11</v>
      </c>
      <c r="E87" s="16" t="s">
        <v>37</v>
      </c>
      <c r="F87" s="16" t="s">
        <v>38</v>
      </c>
      <c r="G87" s="16"/>
      <c r="H87" s="17" t="s">
        <v>12</v>
      </c>
      <c r="I87" s="41" t="s">
        <v>16</v>
      </c>
    </row>
    <row r="88" spans="2:9" ht="12.75">
      <c r="B88" s="18" t="s">
        <v>21</v>
      </c>
      <c r="C88" s="6">
        <f>Database!C76</f>
        <v>750000</v>
      </c>
      <c r="D88" s="7">
        <v>0</v>
      </c>
      <c r="E88" s="7">
        <v>0</v>
      </c>
      <c r="F88" s="42">
        <f aca="true" t="shared" si="4" ref="F88:F95">D88*5280*E88/43560</f>
        <v>0</v>
      </c>
      <c r="G88" s="8"/>
      <c r="H88" s="19">
        <f aca="true" t="shared" si="5" ref="H88:H95">C88*F88</f>
        <v>0</v>
      </c>
      <c r="I88" s="40"/>
    </row>
    <row r="89" spans="2:9" ht="12.75">
      <c r="B89" s="18"/>
      <c r="C89" s="6">
        <f>Database!C77</f>
        <v>750000</v>
      </c>
      <c r="D89" s="7">
        <v>0</v>
      </c>
      <c r="E89" s="7">
        <v>0</v>
      </c>
      <c r="F89" s="42">
        <f t="shared" si="4"/>
        <v>0</v>
      </c>
      <c r="G89" s="8"/>
      <c r="H89" s="19">
        <f t="shared" si="5"/>
        <v>0</v>
      </c>
      <c r="I89" s="40"/>
    </row>
    <row r="90" spans="2:9" ht="12.75">
      <c r="B90" s="18" t="s">
        <v>22</v>
      </c>
      <c r="C90" s="6">
        <f>Database!C78</f>
        <v>1000000</v>
      </c>
      <c r="D90" s="7">
        <v>0</v>
      </c>
      <c r="E90" s="7">
        <v>12</v>
      </c>
      <c r="F90" s="42">
        <f t="shared" si="4"/>
        <v>0</v>
      </c>
      <c r="G90" s="8"/>
      <c r="H90" s="19">
        <f t="shared" si="5"/>
        <v>0</v>
      </c>
      <c r="I90" s="40"/>
    </row>
    <row r="91" spans="2:9" ht="12.75">
      <c r="B91" s="18"/>
      <c r="C91" s="6">
        <f>Database!C79</f>
        <v>1000000</v>
      </c>
      <c r="D91" s="7">
        <v>0</v>
      </c>
      <c r="E91" s="7">
        <v>18</v>
      </c>
      <c r="F91" s="42">
        <f t="shared" si="4"/>
        <v>0</v>
      </c>
      <c r="G91" s="8"/>
      <c r="H91" s="19">
        <f t="shared" si="5"/>
        <v>0</v>
      </c>
      <c r="I91" s="40"/>
    </row>
    <row r="92" spans="2:9" ht="12.75">
      <c r="B92" s="18" t="s">
        <v>23</v>
      </c>
      <c r="C92" s="6">
        <f>Database!C80</f>
        <v>500000</v>
      </c>
      <c r="D92" s="7">
        <v>0</v>
      </c>
      <c r="E92" s="7">
        <v>0</v>
      </c>
      <c r="F92" s="42">
        <f t="shared" si="4"/>
        <v>0</v>
      </c>
      <c r="G92" s="8"/>
      <c r="H92" s="19">
        <f t="shared" si="5"/>
        <v>0</v>
      </c>
      <c r="I92" s="40"/>
    </row>
    <row r="93" spans="2:9" ht="12.75">
      <c r="B93" s="18"/>
      <c r="C93" s="6">
        <f>Database!C81</f>
        <v>500000</v>
      </c>
      <c r="D93" s="7">
        <v>0</v>
      </c>
      <c r="E93" s="7">
        <v>0</v>
      </c>
      <c r="F93" s="42">
        <f t="shared" si="4"/>
        <v>0</v>
      </c>
      <c r="G93" s="8"/>
      <c r="H93" s="19">
        <f t="shared" si="5"/>
        <v>0</v>
      </c>
      <c r="I93" s="40"/>
    </row>
    <row r="94" spans="2:9" ht="12.75">
      <c r="B94" s="18" t="s">
        <v>24</v>
      </c>
      <c r="C94" s="6">
        <f>Database!C82</f>
        <v>750000</v>
      </c>
      <c r="D94" s="7">
        <v>0</v>
      </c>
      <c r="E94" s="7">
        <v>0</v>
      </c>
      <c r="F94" s="42">
        <f t="shared" si="4"/>
        <v>0</v>
      </c>
      <c r="G94" s="8"/>
      <c r="H94" s="19">
        <f t="shared" si="5"/>
        <v>0</v>
      </c>
      <c r="I94" s="40"/>
    </row>
    <row r="95" spans="2:9" ht="12.75">
      <c r="B95" s="18"/>
      <c r="C95" s="6">
        <f>Database!C83</f>
        <v>750000</v>
      </c>
      <c r="D95" s="7">
        <v>0</v>
      </c>
      <c r="E95" s="7">
        <v>0</v>
      </c>
      <c r="F95" s="42">
        <f t="shared" si="4"/>
        <v>0</v>
      </c>
      <c r="G95" s="8"/>
      <c r="H95" s="19">
        <f t="shared" si="5"/>
        <v>0</v>
      </c>
      <c r="I95" s="40"/>
    </row>
    <row r="96" spans="2:9" ht="12.75">
      <c r="B96" s="18" t="s">
        <v>40</v>
      </c>
      <c r="C96" s="6"/>
      <c r="D96" s="9" t="s">
        <v>43</v>
      </c>
      <c r="E96" s="9" t="s">
        <v>44</v>
      </c>
      <c r="F96" s="8"/>
      <c r="G96" s="8"/>
      <c r="H96" s="19"/>
      <c r="I96" s="40"/>
    </row>
    <row r="97" spans="2:9" ht="12.75">
      <c r="B97" s="35" t="s">
        <v>41</v>
      </c>
      <c r="C97" s="6">
        <f>Database!C85</f>
        <v>200000</v>
      </c>
      <c r="D97" s="7">
        <v>0</v>
      </c>
      <c r="E97" s="37">
        <v>1</v>
      </c>
      <c r="F97" s="8"/>
      <c r="G97" s="8"/>
      <c r="H97" s="19">
        <f>C97*D97*E97</f>
        <v>0</v>
      </c>
      <c r="I97" s="40"/>
    </row>
    <row r="98" spans="2:9" ht="12.75">
      <c r="B98" s="35" t="s">
        <v>42</v>
      </c>
      <c r="C98" s="6">
        <f>Database!C86</f>
        <v>800000</v>
      </c>
      <c r="D98" s="7">
        <v>0</v>
      </c>
      <c r="E98" s="7">
        <v>1</v>
      </c>
      <c r="F98" s="8"/>
      <c r="G98" s="8"/>
      <c r="H98" s="19">
        <f>C98*D98*E98</f>
        <v>0</v>
      </c>
      <c r="I98" s="40"/>
    </row>
    <row r="99" spans="2:9" ht="12.75">
      <c r="B99" s="35" t="s">
        <v>86</v>
      </c>
      <c r="C99" s="6">
        <f>Database!C87</f>
        <v>0</v>
      </c>
      <c r="D99" s="7">
        <v>0</v>
      </c>
      <c r="E99" s="37">
        <v>1</v>
      </c>
      <c r="F99" s="8"/>
      <c r="G99" s="8"/>
      <c r="H99" s="19">
        <f>C99*D99*E99</f>
        <v>0</v>
      </c>
      <c r="I99" s="40"/>
    </row>
    <row r="100" spans="2:9" ht="12.75">
      <c r="B100" s="35"/>
      <c r="C100" s="6"/>
      <c r="D100" s="23"/>
      <c r="E100" s="23"/>
      <c r="F100" s="8" t="s">
        <v>45</v>
      </c>
      <c r="G100" s="8"/>
      <c r="H100" s="36">
        <f>Database!G76</f>
        <v>1.65</v>
      </c>
      <c r="I100" s="40"/>
    </row>
    <row r="101" spans="2:10" ht="12.75">
      <c r="B101" s="22"/>
      <c r="C101" s="27"/>
      <c r="D101" s="23"/>
      <c r="E101" s="23"/>
      <c r="F101" s="23"/>
      <c r="G101" s="24" t="s">
        <v>25</v>
      </c>
      <c r="H101" s="25">
        <f>SUM(H88:H99)*H100</f>
        <v>0</v>
      </c>
      <c r="I101" s="68" t="s">
        <v>36</v>
      </c>
      <c r="J101" t="s">
        <v>36</v>
      </c>
    </row>
    <row r="102" spans="8:9" ht="12.75">
      <c r="H102" s="52">
        <f>H101/$H$114</f>
        <v>0</v>
      </c>
      <c r="I102" s="40"/>
    </row>
    <row r="103" spans="2:9" ht="15">
      <c r="B103" s="5" t="s">
        <v>79</v>
      </c>
      <c r="I103" s="40" t="s">
        <v>16</v>
      </c>
    </row>
    <row r="104" spans="2:9" ht="14.25">
      <c r="B104" s="51" t="s">
        <v>36</v>
      </c>
      <c r="C104" s="16"/>
      <c r="D104" s="16"/>
      <c r="E104" s="16"/>
      <c r="F104" s="16"/>
      <c r="G104" s="16"/>
      <c r="H104" s="49">
        <v>0</v>
      </c>
      <c r="I104" s="40"/>
    </row>
    <row r="105" spans="2:9" ht="15">
      <c r="B105" s="45"/>
      <c r="C105" s="8"/>
      <c r="D105" s="8"/>
      <c r="E105" s="8"/>
      <c r="F105" s="8"/>
      <c r="G105" s="8"/>
      <c r="H105" s="50"/>
      <c r="I105" s="40"/>
    </row>
    <row r="106" spans="2:9" ht="15">
      <c r="B106" s="45"/>
      <c r="C106" s="8"/>
      <c r="D106" s="8"/>
      <c r="E106" s="8"/>
      <c r="F106" s="8"/>
      <c r="G106" s="8"/>
      <c r="H106" s="94">
        <f>0.02*(H84)</f>
        <v>71527.69078482829</v>
      </c>
      <c r="I106" s="40" t="s">
        <v>155</v>
      </c>
    </row>
    <row r="107" spans="2:10" ht="12.75">
      <c r="B107" s="22" t="s">
        <v>36</v>
      </c>
      <c r="C107" s="46" t="s">
        <v>36</v>
      </c>
      <c r="D107" s="23"/>
      <c r="E107" s="23"/>
      <c r="F107" s="23"/>
      <c r="G107" s="24" t="s">
        <v>80</v>
      </c>
      <c r="H107" s="25">
        <f>SUM(H104:H106)</f>
        <v>71527.69078482829</v>
      </c>
      <c r="I107" s="68" t="s">
        <v>36</v>
      </c>
      <c r="J107" t="s">
        <v>36</v>
      </c>
    </row>
    <row r="108" spans="3:9" ht="12.75">
      <c r="C108" s="3"/>
      <c r="H108" s="53">
        <f>H107/$H$114</f>
        <v>0.01785714285714286</v>
      </c>
      <c r="I108" s="40"/>
    </row>
    <row r="109" spans="2:9" ht="15">
      <c r="B109" s="5" t="s">
        <v>27</v>
      </c>
      <c r="I109" s="40" t="s">
        <v>16</v>
      </c>
    </row>
    <row r="110" spans="2:10" ht="12.75">
      <c r="B110" s="28" t="s">
        <v>6</v>
      </c>
      <c r="C110" s="29">
        <v>0.1</v>
      </c>
      <c r="D110" s="30"/>
      <c r="E110" s="30"/>
      <c r="F110" s="30"/>
      <c r="G110" s="31" t="s">
        <v>28</v>
      </c>
      <c r="H110" s="32">
        <f>H84*C110</f>
        <v>357638.4539241414</v>
      </c>
      <c r="I110" s="68" t="s">
        <v>36</v>
      </c>
      <c r="J110" t="s">
        <v>36</v>
      </c>
    </row>
    <row r="111" spans="3:9" ht="12.75">
      <c r="C111" s="3"/>
      <c r="H111" s="53">
        <f>H110/$H$114</f>
        <v>0.08928571428571429</v>
      </c>
      <c r="I111" s="40"/>
    </row>
    <row r="112" spans="2:9" ht="15">
      <c r="B112" s="5" t="s">
        <v>29</v>
      </c>
      <c r="C112" s="3"/>
      <c r="I112" s="40"/>
    </row>
    <row r="113" spans="2:9" ht="12.75">
      <c r="B113" s="28" t="s">
        <v>30</v>
      </c>
      <c r="C113" s="29">
        <v>0.1</v>
      </c>
      <c r="D113" s="30"/>
      <c r="E113" s="30"/>
      <c r="F113" s="30"/>
      <c r="G113" s="31" t="s">
        <v>31</v>
      </c>
      <c r="H113" s="32">
        <f>(H84+H101+H107+H110)*C113</f>
        <v>400555.06839503837</v>
      </c>
      <c r="I113" s="40"/>
    </row>
    <row r="114" spans="2:8" ht="12.75">
      <c r="B114" s="18"/>
      <c r="C114" s="8"/>
      <c r="D114" s="8"/>
      <c r="E114" s="8"/>
      <c r="F114" s="8"/>
      <c r="G114" s="44" t="s">
        <v>81</v>
      </c>
      <c r="H114" s="39">
        <f>H84+H101+H107+H110</f>
        <v>4005550.6839503837</v>
      </c>
    </row>
    <row r="115" spans="2:10" ht="12.75">
      <c r="B115" s="22"/>
      <c r="C115" s="23"/>
      <c r="D115" s="23"/>
      <c r="E115" s="23"/>
      <c r="F115" s="23"/>
      <c r="G115" s="24" t="s">
        <v>83</v>
      </c>
      <c r="H115" s="25">
        <f>H113+H114</f>
        <v>4406105.752345422</v>
      </c>
      <c r="I115" s="68" t="s">
        <v>36</v>
      </c>
      <c r="J115" t="s">
        <v>36</v>
      </c>
    </row>
  </sheetData>
  <mergeCells count="11">
    <mergeCell ref="G13:H13"/>
    <mergeCell ref="G14:H14"/>
    <mergeCell ref="G9:H9"/>
    <mergeCell ref="G10:H10"/>
    <mergeCell ref="G11:H11"/>
    <mergeCell ref="G12:H12"/>
    <mergeCell ref="C6:H6"/>
    <mergeCell ref="C2:H2"/>
    <mergeCell ref="C3:E3"/>
    <mergeCell ref="C4:E4"/>
    <mergeCell ref="C5:E5"/>
  </mergeCells>
  <printOptions/>
  <pageMargins left="0.75" right="0.75" top="1" bottom="1" header="0.5" footer="0.5"/>
  <pageSetup fitToHeight="1" fitToWidth="1" horizontalDpi="600" verticalDpi="600" orientation="portrait" paperSize="17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- Personal Systems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PBSJ</dc:creator>
  <cp:keywords/>
  <dc:description/>
  <cp:lastModifiedBy>PBS&amp;J Employee</cp:lastModifiedBy>
  <cp:lastPrinted>2006-06-05T20:35:02Z</cp:lastPrinted>
  <dcterms:created xsi:type="dcterms:W3CDTF">2004-05-13T18:38:54Z</dcterms:created>
  <dcterms:modified xsi:type="dcterms:W3CDTF">2006-07-06T17:31:26Z</dcterms:modified>
  <cp:category/>
  <cp:version/>
  <cp:contentType/>
  <cp:contentStatus/>
</cp:coreProperties>
</file>